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GAD67 densities" sheetId="1" state="visible" r:id="rId2"/>
    <sheet name="Fully inhibexc regions" sheetId="2" state="visible" r:id="rId3"/>
    <sheet name="PV-SST-VIP" sheetId="3" state="visible" r:id="rId4"/>
    <sheet name="Additional Cell types densities" sheetId="4" state="visible" r:id="rId5"/>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<sst xmlns="http://schemas.openxmlformats.org/spreadsheetml/2006/main" count="987" uniqueCount="540">
  <si>
    <t xml:space="preserve">Brain Region</t>
  </si>
  <si>
    <t xml:space="preserve">Density (per mm3)</t>
  </si>
  <si>
    <t xml:space="preserve">STD</t>
  </si>
  <si>
    <t xml:space="preserve">Comments</t>
  </si>
  <si>
    <t xml:space="preserve">Paper</t>
  </si>
  <si>
    <t xml:space="preserve">AGE</t>
  </si>
  <si>
    <t xml:space="preserve">UPDATE</t>
  </si>
  <si>
    <t xml:space="preserve">Cell Atlas Data</t>
  </si>
  <si>
    <t xml:space="preserve">Piriform area, molecular layer</t>
  </si>
  <si>
    <t xml:space="preserve">Table 2
GFP from marker GAD67
Anterior Piriform Cortex corresponds to the anterior part of the Piriform area (covered by lateral olfactory tracts)
Layer 1 is molecular layer
Layer 2 is pyramidal layer
Layer 3 is polymorph layer
Layer 1 and 2 subdivisions a and b are merged by mean
Additional values for PV, VIP, SST, NPY, CCK, CB, CR</t>
  </si>
  <si>
    <t xml:space="preserve">Inhibitory Neurons in the Anterior Piriform Cortex of the Mouse: Classification Using Molecular Markers</t>
  </si>
  <si>
    <t xml:space="preserve">11 weeks old</t>
  </si>
  <si>
    <t xml:space="preserve">Piriform area, pyramidal layer</t>
  </si>
  <si>
    <t xml:space="preserve">Piriform area, polymorph layer</t>
  </si>
  <si>
    <t xml:space="preserve">Endopiriform nucleus</t>
  </si>
  <si>
    <t xml:space="preserve">Field CA1</t>
  </si>
  <si>
    <t xml:space="preserve">Table 4
Densities of GABAergic neurons in the mouse hippocampus using GAD67 based on the optical disector method using a confocal laser scanning microscope</t>
  </si>
  <si>
    <t xml:space="preserve">Quantitative analysis of GABAergic neurons in the mouse hippocampus, with optical disector using confocal laser scanning microscope</t>
  </si>
  <si>
    <t xml:space="preserve">Field CA1, stratum oriens</t>
  </si>
  <si>
    <t xml:space="preserve">Field CA1, pyramidal layer</t>
  </si>
  <si>
    <t xml:space="preserve">Field CA1, stratum radiatum</t>
  </si>
  <si>
    <t xml:space="preserve">Field CA1, stratum lacunosum-moleculare</t>
  </si>
  <si>
    <t xml:space="preserve">Field CA3, stratum oriens</t>
  </si>
  <si>
    <t xml:space="preserve">Field CA3, pyramidal layer</t>
  </si>
  <si>
    <t xml:space="preserve">Field CA3, stratum lucidum</t>
  </si>
  <si>
    <t xml:space="preserve">Field CA3, stratum radiatum</t>
  </si>
  <si>
    <t xml:space="preserve">Field CA3, stratum lacunosum-moleculare</t>
  </si>
  <si>
    <t xml:space="preserve">Field CA3</t>
  </si>
  <si>
    <t xml:space="preserve">Dentate gyrus</t>
  </si>
  <si>
    <t xml:space="preserve">Dentate gyrus, polymorph layer</t>
  </si>
  <si>
    <t xml:space="preserve">Dentate gyrus, granule cell layer</t>
  </si>
  <si>
    <t xml:space="preserve">Dentate gyrus, molecular layer</t>
  </si>
  <si>
    <t xml:space="preserve">Primary visual area</t>
  </si>
  <si>
    <t xml:space="preserve">Table 2
Densities of GABAergic neurons 
Additional values for PV, VIP, SST, NPY, CCK, CR, NOS, ChAT</t>
  </si>
  <si>
    <t xml:space="preserve">Multiple distinct subtypes of GABAergic neurons in mouse visual cortex identified by triple immunostaining</t>
  </si>
  <si>
    <t xml:space="preserve">newborn (P0), 5-, 13-, 16-, 33-, 150- and 300-day-old</t>
  </si>
  <si>
    <t xml:space="preserve">Main olfactory bulb, glomerular layer</t>
  </si>
  <si>
    <t xml:space="preserve">Table 4
Cell counts from GAD67 experiment converted to densities using volumes provided Table 2 
Cell counts from GAD65 experiments are also available</t>
  </si>
  <si>
    <t xml:space="preserve">Quantitative Analysis of Neuronal Diversity in the Mouse Olfactory Bulb</t>
  </si>
  <si>
    <t xml:space="preserve">8 weeks</t>
  </si>
  <si>
    <t xml:space="preserve">Main olfactory bulb, outer plexiform layer</t>
  </si>
  <si>
    <t xml:space="preserve">Main olfactory bulb, mitral layer</t>
  </si>
  <si>
    <t xml:space="preserve">Main olfactory bulb, inner plexiform layer</t>
  </si>
  <si>
    <t xml:space="preserve">Main olfactory bulb, granule layer</t>
  </si>
  <si>
    <t xml:space="preserve">Main olfactory bulb</t>
  </si>
  <si>
    <t xml:space="preserve">Prelimbic area</t>
  </si>
  <si>
    <t xml:space="preserve">Frontal cortex -&gt; Prelimbic area
Table 2
Layer 4 does not exist for Prelimbic area
L6 -&gt; layer 6a and layer 6b</t>
  </si>
  <si>
    <t xml:space="preserve">Immunochemical Characterization of Inhibitory Mouse Cortical Neurons: Three Chemically Distinct Classes of Inhibitory Cells</t>
  </si>
  <si>
    <t xml:space="preserve">Adult mice</t>
  </si>
  <si>
    <t xml:space="preserve">Prelimbic area, layer 1</t>
  </si>
  <si>
    <t xml:space="preserve">Prelimbic area, layer 2/3</t>
  </si>
  <si>
    <t xml:space="preserve">Prelimbic area, layer 4</t>
  </si>
  <si>
    <t xml:space="preserve">Prelimbic area, layer 5</t>
  </si>
  <si>
    <t xml:space="preserve">Prelimbic area, layer 6a</t>
  </si>
  <si>
    <t xml:space="preserve">Prelimbic area, layer 6b</t>
  </si>
  <si>
    <t xml:space="preserve">Primary somatosensory area</t>
  </si>
  <si>
    <t xml:space="preserve">Primary somatosensory area, layer 1</t>
  </si>
  <si>
    <t xml:space="preserve">Primary somatosensory area, layer 2/3</t>
  </si>
  <si>
    <t xml:space="preserve">Primary somatosensory area, layer 4</t>
  </si>
  <si>
    <t xml:space="preserve">Primary somatosensory area, layer 5</t>
  </si>
  <si>
    <t xml:space="preserve">Primary somatosensory area, layer 6a</t>
  </si>
  <si>
    <t xml:space="preserve">Primary somatosensory area, layer 6b</t>
  </si>
  <si>
    <t xml:space="preserve">Primary visual area, layer 1</t>
  </si>
  <si>
    <t xml:space="preserve">Primary visual area, layer 2/3</t>
  </si>
  <si>
    <t xml:space="preserve">Primary visual area, layer 4</t>
  </si>
  <si>
    <t xml:space="preserve">Primary visual area, layer 5</t>
  </si>
  <si>
    <t xml:space="preserve">Primary visual area, layer 6a</t>
  </si>
  <si>
    <t xml:space="preserve">Primary visual area, layer 6b</t>
  </si>
  <si>
    <t xml:space="preserve">Somatomotor areas</t>
  </si>
  <si>
    <t xml:space="preserve">GAD67 19% (291 of 1,496) of neurons in 460 μm * 25‐μm‐thick
Percentage applied to densities of neurons in Cell Atlas ( neuron counts / region volume)</t>
  </si>
  <si>
    <t xml:space="preserve">Green fluorescent protein expression and colocalization with calretinin, parvalbumin, and somatostatin in the GAD67-GFP knock-in mouse.
</t>
  </si>
  <si>
    <t xml:space="preserve">&gt; 3 months
</t>
  </si>
  <si>
    <t xml:space="preserve">RNA seq. Also have excitatory ratio 
Fig. 4.
Percent of inhibitory cells * cells densities from Cell Atlas ( cell counts / region volume)</t>
  </si>
  <si>
    <t xml:space="preserve">Three-dimensional intact-tissue sequencing of single-cell transcriptional states</t>
  </si>
  <si>
    <t xml:space="preserve">adult</t>
  </si>
  <si>
    <t xml:space="preserve">Fig 11. Densities of Gad67+ cells in wildtype mice extracted from barplot</t>
  </si>
  <si>
    <t xml:space="preserve">Selective populations of hippocampal interneurons express ErbB4 and their number and distribution is altered in ErbB4 knockout mice</t>
  </si>
  <si>
    <t xml:space="preserve">12-16 weeks</t>
  </si>
  <si>
    <t xml:space="preserve">Subiculum</t>
  </si>
  <si>
    <t xml:space="preserve">Striatum</t>
  </si>
  <si>
    <t xml:space="preserve">GAD67 ISH experiment
Table 4
Globus pallidus = internal + external segment -&gt; assume density is the same in both
Frontal Cortex -&gt; Prelimbic area</t>
  </si>
  <si>
    <t xml:space="preserve">Changes in GAD67 mRNA expression evidenced by in situ hybridization in the brain of R6/2 transgenic mice</t>
  </si>
  <si>
    <t xml:space="preserve">12 weeks 4 days-old</t>
  </si>
  <si>
    <t xml:space="preserve">Globus pallidus, internal segment</t>
  </si>
  <si>
    <t xml:space="preserve">Globus pallidus, external segment</t>
  </si>
  <si>
    <t xml:space="preserve">Cerebellar cortex, Purkinje layer</t>
  </si>
  <si>
    <t xml:space="preserve">Cerebellar cortex, molecular layer</t>
  </si>
  <si>
    <t xml:space="preserve">Cerebellar cortex, granular layer</t>
  </si>
  <si>
    <t xml:space="preserve">Cerebellar cortex</t>
  </si>
  <si>
    <t xml:space="preserve">Estimated from previous numbers and cell atlas volumes</t>
  </si>
  <si>
    <t xml:space="preserve">Entorhinal area, lateral part, layer 2a</t>
  </si>
  <si>
    <t xml:space="preserve">
Supplementary Figure 1 
Percent of GAD neurons * number of neuron / volume of the region </t>
  </si>
  <si>
    <t xml:space="preserve">Spatially segregated feedforward and feedback neurons support differential odor processing in the lateral entorhinal cortex</t>
  </si>
  <si>
    <t xml:space="preserve">8- to 14-week-old</t>
  </si>
  <si>
    <t xml:space="preserve">Entorhinal area, lateral part, layer 2b</t>
  </si>
  <si>
    <t xml:space="preserve">Somatosensory cortex</t>
  </si>
  <si>
    <t xml:space="preserve">Extracted from Figure 3.
Hard to tell on which sub region of the SSCtx this article focuses on</t>
  </si>
  <si>
    <t xml:space="preserve">Structural and Functional Aberrations in the Cerebral Cortex of Tenascin-C Deficient Mice</t>
  </si>
  <si>
    <t xml:space="preserve">19–23 weeks</t>
  </si>
  <si>
    <t xml:space="preserve">Anterior cingulate area</t>
  </si>
  <si>
    <t xml:space="preserve">163*163*30 µm coronal slices || Anterior cingulate area, ventral part</t>
  </si>
  <si>
    <t xml:space="preserve">Characterization of GABAergic Neurons in the Mouse Lateral Septum: A Double Fluorescence In Situ Hybridization and Immunohistochemical Study Using Tyramide Signal Amplification</t>
  </si>
  <si>
    <t xml:space="preserve">2.5 months old</t>
  </si>
  <si>
    <t xml:space="preserve">Medial preoptic area</t>
  </si>
  <si>
    <t xml:space="preserve">Lateral septal nucleus, rostral (rostroventral) part</t>
  </si>
  <si>
    <t xml:space="preserve">Number of GAD67+ cells taken from Figure  3 
Rostral and caudal distinctions are merged in the AIBS annotations
Rostroventral region in AIBS corresponds to Intermediate and rostroventral regions 
Ventral region in AIBS is only present in caudal sections</t>
  </si>
  <si>
    <t xml:space="preserve">Lateral septal nucleus, caudal (caudodorsal) part</t>
  </si>
  <si>
    <t xml:space="preserve">Lateral septal nucleus, ventral part</t>
  </si>
  <si>
    <t xml:space="preserve">Dorsal part of the lateral geniculate complex</t>
  </si>
  <si>
    <t xml:space="preserve">Figure 1A (actual values in result text: 1 or 2 cells per 2500 μm^2 * 70μm thickness)</t>
  </si>
  <si>
    <t xml:space="preserve">Interneurons in the mouse visual thalamus maintain a high degree of retinal convergence throughout postnatal development</t>
  </si>
  <si>
    <t xml:space="preserve">P7, P9 and P26</t>
  </si>
  <si>
    <t xml:space="preserve">Paraventricular nucleus of the thalamus</t>
  </si>
  <si>
    <t xml:space="preserve">TABLE 1. GAD67-GFP cell counts from 3 groups
4 random 30 μm‐thick coronal sections of the full mouse brain
Densities = mean(number of neuron from paper)/ mean(coronal surface in um2)/30*1e9
</t>
  </si>
  <si>
    <t xml:space="preserve">The Effect of Sevoflurane Inhalation on Gabaergic Neurons Activation: Observation on the GAD67‐GFP Knock‐In Mouse</t>
  </si>
  <si>
    <t xml:space="preserve">aged 12 weeks</t>
  </si>
  <si>
    <t xml:space="preserve">Inferior colliculus, central nucleus</t>
  </si>
  <si>
    <t xml:space="preserve">Densities of GFP-positive neurons in cells/10^4 um2 in 50um thick transverse sections
</t>
  </si>
  <si>
    <t xml:space="preserve">GABAergic neurons in inferior colliculus of the GAD67-GFP knock-in mouse: Electrophysiological and morphological properties</t>
  </si>
  <si>
    <t xml:space="preserve">P23</t>
  </si>
  <si>
    <t xml:space="preserve">Inferior colliculus, dorsal nucleus</t>
  </si>
  <si>
    <t xml:space="preserve">Inferior colliculus, external nucleus</t>
  </si>
  <si>
    <t xml:space="preserve">Review paper on GABAergic neurons for different species 
GABA-positive neurons 15% +-5% of the total neuronal population 
%  * num neuron in region / volume region</t>
  </si>
  <si>
    <t xml:space="preserve">GABAergic Neurons in Mammalian Thalamus: A Marker of Thalamic Complexity?</t>
  </si>
  <si>
    <t xml:space="preserve">Estimate using the Cell Atlas and a neuron type distribution of rodent striatum (99.3% of the neurons) 
Estimate of percentage of cholinergic (1.7%), PV (0.7%) and CR (0.8%) neurons are from rat, the rest from mouse
Percentage * neuron counts / volume of region</t>
  </si>
  <si>
    <t xml:space="preserve">Tepper et al. 2017 ; Phelps et al 1985 ; Unal et al. 2015 ; Rymar et al 2004 ; Ibanez et al. 2011</t>
  </si>
  <si>
    <t xml:space="preserve">Nucleus of the solitary tract, central part</t>
  </si>
  <si>
    <t xml:space="preserve">GAD67 GFP-IR
Table 1.
Take mean volume of coronal 50 μm sections from the Cell Atlas
AIBS Gelatinous part is part of authors medial part assuming same densities
Authors Intermediate part is part of AIBS medial part
Authors Interstitial part is part of AIBS lateral part
Authors Ventral part is part of AIBS lateral part 
Taking mean of all lateral and medial subregions
Taking sum of left and right side
</t>
  </si>
  <si>
    <t xml:space="preserve">Co-expression of GAD67 and choline acetyltransferase reveals a novel neuronal phenotype in the mouse medulla oblongata</t>
  </si>
  <si>
    <t xml:space="preserve">4–6 weeks</t>
  </si>
  <si>
    <t xml:space="preserve">Densities of neurons from cell atlas: 64840</t>
  </si>
  <si>
    <t xml:space="preserve">Nucleus of the solitary tract, gelatinous part</t>
  </si>
  <si>
    <t xml:space="preserve">Nucleus of the solitary tract, medial part</t>
  </si>
  <si>
    <t xml:space="preserve">Nucleus of the solitary tract, commissural part</t>
  </si>
  <si>
    <t xml:space="preserve">Nucleus of the solitary tract, lateral part</t>
  </si>
  <si>
    <t xml:space="preserve">Nucleus of the solitary tract</t>
  </si>
  <si>
    <t xml:space="preserve">GAD67–GFP counting
Figure 1F 
10 * Cell counts from 100 * 100 * 50  μm sections, further optically sectioned to 1 μM
Assume mean cell count in 1um optical section = cell count in the complete section (cell diameters &gt; 30um cf Okada et al 2008)</t>
  </si>
  <si>
    <t xml:space="preserve">Properties of GABAergic Neurons in the Rostral Solitary Tract Nucleus in Mice</t>
  </si>
  <si>
    <t xml:space="preserve">(4 – 6 wk old)</t>
  </si>
  <si>
    <t xml:space="preserve">Table 2
GAD67  Numerical densities (×105/mm3), also NSE (neuron)
Subregions are not matching AIBS reference atlas assuming density equals to mean of regions </t>
  </si>
  <si>
    <t xml:space="preserve">Quantitative and immunohistochemical analysis of neuronal types in the mouse caudal nucleus tractus solitarius: Focus on GABAergic neurons</t>
  </si>
  <si>
    <t xml:space="preserve"> 6 to 7-week-old</t>
  </si>
  <si>
    <t xml:space="preserve">Primary somatosensory area, barrel field, layer 1</t>
  </si>
  <si>
    <t xml:space="preserve">GAD67 GFP+ neuron counts in C2 barrel column 100um thick slices 
Column diameter ~300um, distance to pia for each layer provided in um  
Density in barrel column applied to the whole barrel region (including septa)
Density in layer = counts in layer / cylinder volume of the layer 
Merge layer 2 and 3
Merge layer 5a and layer 5b
Same density applied in 6a and 6b</t>
  </si>
  <si>
    <t xml:space="preserve">The Excitatory Neuronal Network of the C2 Barrel Columnin Mouse Primary Somatosensory Cortex</t>
  </si>
  <si>
    <t xml:space="preserve">P18–21</t>
  </si>
  <si>
    <t xml:space="preserve">Primary somatosensory area, barrel field, layer 2/3</t>
  </si>
  <si>
    <t xml:space="preserve">Primary somatosensory area, barrel field, layer 4</t>
  </si>
  <si>
    <t xml:space="preserve">Primary somatosensory area, barrel field, layer 5</t>
  </si>
  <si>
    <t xml:space="preserve">Primary somatosensory area, barrel field, layer 6a</t>
  </si>
  <si>
    <t xml:space="preserve">Primary somatosensory area, barrel field, layer 6b</t>
  </si>
  <si>
    <t xml:space="preserve">Declive (VI), molecular layer</t>
  </si>
  <si>
    <t xml:space="preserve">GAD67 GFP+ densities in 14um brain slices (n = 5)
Extracted from Fig.3</t>
  </si>
  <si>
    <t xml:space="preserve">Development of stellate and basket cells and theirapoptosis in mouse cerebellar cortex</t>
  </si>
  <si>
    <t xml:space="preserve">P20-21</t>
  </si>
  <si>
    <t xml:space="preserve">Declive (VI), granular layer</t>
  </si>
  <si>
    <t xml:space="preserve">Lobules IV-V, molecular layer</t>
  </si>
  <si>
    <t xml:space="preserve">Lobules IV-V, granular layer</t>
  </si>
  <si>
    <t xml:space="preserve">Primary somatosensory area, barrel field</t>
  </si>
  <si>
    <t xml:space="preserve">Densities from ISH experiment</t>
  </si>
  <si>
    <t xml:space="preserve">Characterizing VIP Neurons in the Barrel Cortex ofVIPcre/tdTomato Mice Reveals Layer-Specific Differences</t>
  </si>
  <si>
    <t xml:space="preserve">20–30 weeks old</t>
  </si>
  <si>
    <t xml:space="preserve">Piriform-amygdalar area</t>
  </si>
  <si>
    <t xml:space="preserve">Extracted from Figure 3 and 4</t>
  </si>
  <si>
    <t xml:space="preserve">GABA concentration and GABAergic neuron populations in limbic areas are differentially altered by brain serotonin deficiency in Tph2 knockout mice</t>
  </si>
  <si>
    <t xml:space="preserve">3 months</t>
  </si>
  <si>
    <t xml:space="preserve">Somatosensory areas</t>
  </si>
  <si>
    <t xml:space="preserve">Extracted from figure 7</t>
  </si>
  <si>
    <t xml:space="preserve">ANALYSIS OF NEURONAL SUBPOPULATIONS IN MICEOVER-EXPRESSING SUPPRESSOR OF CYTOKINE SIGNALING-2</t>
  </si>
  <si>
    <t xml:space="preserve">2-3 months</t>
  </si>
  <si>
    <t xml:space="preserve">Extracted from Figure 15. 
Assume Basket cells and Stellate cells are the only neuron types of the molecular layer. Molecular layer is purely inhibitory</t>
  </si>
  <si>
    <t xml:space="preserve">Quantitative morphological analysis of the neostriatum and the cerebellum of tenascin-C deficient mice</t>
  </si>
  <si>
    <t xml:space="preserve">5 months</t>
  </si>
  <si>
    <t xml:space="preserve">Extracted from Figure 16</t>
  </si>
  <si>
    <t xml:space="preserve">Numbers from Table 1
Densities = Countrs per 0.001mm3 *1000</t>
  </si>
  <si>
    <t xml:space="preserve">Cell Number and Cell Density in the Cerebellar Cortex of Man and Some Other Mammals</t>
  </si>
  <si>
    <t xml:space="preserve">Lobule II, molecular layer</t>
  </si>
  <si>
    <t xml:space="preserve">VGAT-Venus mouse (highlight inhibitory neurons)
Extracted from figure 2
counts of cells devided by provided volumes (fig 2d)
n=4</t>
  </si>
  <si>
    <t xml:space="preserve">Ethanol exposure during development reduces GABAergic/glycinergic neuron numbers and lobule volumes in the mouse cerebellar vermis</t>
  </si>
  <si>
    <t xml:space="preserve">P16</t>
  </si>
  <si>
    <t xml:space="preserve">Lobule III, molecular layer</t>
  </si>
  <si>
    <t xml:space="preserve">Folium-tuber vermis (VII), molecular layer</t>
  </si>
  <si>
    <t xml:space="preserve">Pyramus (VIII), molecular layer</t>
  </si>
  <si>
    <t xml:space="preserve">Uvula (IX), molecular layer</t>
  </si>
  <si>
    <t xml:space="preserve">Nodulus (X), molecular layer</t>
  </si>
  <si>
    <t xml:space="preserve">Transversal brain slices 30–50 um, GAD67-stained
Assuming mean slice width 40um</t>
  </si>
  <si>
    <t xml:space="preserve">P12–P33</t>
  </si>
  <si>
    <t xml:space="preserve">GABA Density (per mm3)</t>
  </si>
  <si>
    <t xml:space="preserve">Gustatory areas, layer 1</t>
  </si>
  <si>
    <t xml:space="preserve">30369.967355821544</t>
  </si>
  <si>
    <t xml:space="preserve">Estimate from Cell Atlas</t>
  </si>
  <si>
    <t xml:space="preserve">Frontal pole, layer 1</t>
  </si>
  <si>
    <t xml:space="preserve">27133.98758261566</t>
  </si>
  <si>
    <t xml:space="preserve">Temporal association areas, layer 1</t>
  </si>
  <si>
    <t xml:space="preserve">50373.13432835821</t>
  </si>
  <si>
    <t xml:space="preserve">Agranular insular area, posterior part, layer 1</t>
  </si>
  <si>
    <t xml:space="preserve">31718.01730920535</t>
  </si>
  <si>
    <t xml:space="preserve">35834.19320405622</t>
  </si>
  <si>
    <t xml:space="preserve">Anteromedial visual area, layer 1</t>
  </si>
  <si>
    <t xml:space="preserve">67638.64129125512</t>
  </si>
  <si>
    <t xml:space="preserve">Primary motor area, Layer 1</t>
  </si>
  <si>
    <t xml:space="preserve">41249.72170686456</t>
  </si>
  <si>
    <t xml:space="preserve">Lateral visual area, layer 1</t>
  </si>
  <si>
    <t xml:space="preserve">31656.413232733605</t>
  </si>
  <si>
    <t xml:space="preserve">Retrosplenial area, dorsal part, layer 1</t>
  </si>
  <si>
    <t xml:space="preserve">79503.60941202403</t>
  </si>
  <si>
    <t xml:space="preserve">Orbital area, lateral part, layer 1</t>
  </si>
  <si>
    <t xml:space="preserve">32309.347925216596</t>
  </si>
  <si>
    <t xml:space="preserve">Primary somatosensory area, upper limb, layer 1</t>
  </si>
  <si>
    <t xml:space="preserve">37294.368340943685</t>
  </si>
  <si>
    <t xml:space="preserve">Orbital area, medial part, layer 1</t>
  </si>
  <si>
    <t xml:space="preserve">39033.67315415508</t>
  </si>
  <si>
    <t xml:space="preserve">Dorsal auditory area, layer 1</t>
  </si>
  <si>
    <t xml:space="preserve">56401.67364016736</t>
  </si>
  <si>
    <t xml:space="preserve">Posterior parietal association areas, layer 1</t>
  </si>
  <si>
    <t xml:space="preserve">72613.8448707256</t>
  </si>
  <si>
    <t xml:space="preserve">Perirhinal area, layer 1</t>
  </si>
  <si>
    <t xml:space="preserve">40228.153564899454</t>
  </si>
  <si>
    <t xml:space="preserve">Retrosplenial area, ventral part, layer 1</t>
  </si>
  <si>
    <t xml:space="preserve">75689.77387782652</t>
  </si>
  <si>
    <t xml:space="preserve">Primary somatosensory area, nose, layer 1</t>
  </si>
  <si>
    <t xml:space="preserve">40025.28445006321</t>
  </si>
  <si>
    <t xml:space="preserve">Anterior cingulate area, ventral part, layer 1</t>
  </si>
  <si>
    <t xml:space="preserve">41106.14282613414</t>
  </si>
  <si>
    <t xml:space="preserve">71114.07643774022</t>
  </si>
  <si>
    <t xml:space="preserve">Secondary motor area, layer 1</t>
  </si>
  <si>
    <t xml:space="preserve">51613.949889265416</t>
  </si>
  <si>
    <t xml:space="preserve">Retrosplenial area, lateral agranular part, layer 1</t>
  </si>
  <si>
    <t xml:space="preserve">83068.16479400749</t>
  </si>
  <si>
    <t xml:space="preserve">Posterior auditory area, layer 1</t>
  </si>
  <si>
    <t xml:space="preserve">81994.20289855072</t>
  </si>
  <si>
    <t xml:space="preserve">Agranular insular area, ventral part, layer 1</t>
  </si>
  <si>
    <t xml:space="preserve">22326.46292347785</t>
  </si>
  <si>
    <t xml:space="preserve">Infralimbic area, layer 1</t>
  </si>
  <si>
    <t xml:space="preserve">54569.131408989066</t>
  </si>
  <si>
    <t xml:space="preserve">Primary auditory area, layer 1</t>
  </si>
  <si>
    <t xml:space="preserve">68188.58165904119</t>
  </si>
  <si>
    <t xml:space="preserve">Posterolateral visual area, layer 1</t>
  </si>
  <si>
    <t xml:space="preserve">77495.30369442704</t>
  </si>
  <si>
    <t xml:space="preserve">posteromedial visual area, layer 1</t>
  </si>
  <si>
    <t xml:space="preserve">90126.4603155486</t>
  </si>
  <si>
    <t xml:space="preserve">Ectorhinal area/Layer 1</t>
  </si>
  <si>
    <t xml:space="preserve">57605.96812478806</t>
  </si>
  <si>
    <t xml:space="preserve">Supplemental somatosensory area, layer 1</t>
  </si>
  <si>
    <t xml:space="preserve">47984.26487461072</t>
  </si>
  <si>
    <t xml:space="preserve">Primary somatosensory area, mouth, layer 1</t>
  </si>
  <si>
    <t xml:space="preserve">34020.33298953882</t>
  </si>
  <si>
    <t xml:space="preserve">Visceral area, layer 1</t>
  </si>
  <si>
    <t xml:space="preserve">49779.07400656216</t>
  </si>
  <si>
    <t xml:space="preserve">Anterior cingulate area, dorsal part, layer 1</t>
  </si>
  <si>
    <t xml:space="preserve">22392.33716475096</t>
  </si>
  <si>
    <t xml:space="preserve">Ventral auditory area, layer 1</t>
  </si>
  <si>
    <t xml:space="preserve">63486.27963412358</t>
  </si>
  <si>
    <t xml:space="preserve">Orbital area, ventrolateral part, layer 1</t>
  </si>
  <si>
    <t xml:space="preserve">28777.129960504044</t>
  </si>
  <si>
    <t xml:space="preserve">46204.689244510606</t>
  </si>
  <si>
    <t xml:space="preserve">Agranular insular area, dorsal part, layer 1</t>
  </si>
  <si>
    <t xml:space="preserve">23378.61453053343</t>
  </si>
  <si>
    <t xml:space="preserve">Primary somatosensory area, trunk, layer 1</t>
  </si>
  <si>
    <t xml:space="preserve">81261.74135378818</t>
  </si>
  <si>
    <t xml:space="preserve">Primary somatosensory area, lower limb, layer 1</t>
  </si>
  <si>
    <t xml:space="preserve">60944.69565217391</t>
  </si>
  <si>
    <t xml:space="preserve">Anterolateral visual area, layer 1</t>
  </si>
  <si>
    <t xml:space="preserve">52851.25403526198</t>
  </si>
  <si>
    <t xml:space="preserve">Primary somatosensory area, unassigned, layer 1</t>
  </si>
  <si>
    <t xml:space="preserve">36747.46854863455</t>
  </si>
  <si>
    <t xml:space="preserve">Reticular nucleus of the thalamus</t>
  </si>
  <si>
    <t xml:space="preserve">54862.48747355528</t>
  </si>
  <si>
    <t xml:space="preserve">Estimate from Cell Atlas 
Fig 1: PV+ 99.6_x005F_x005F_x0004_ +-0.1% of neurons</t>
  </si>
  <si>
    <t xml:space="preserve">Lack of Intrinsic GABAergic Connections in the Thalamic Reticular Nucleus of the Mouse</t>
  </si>
  <si>
    <t xml:space="preserve">P42–P46</t>
  </si>
  <si>
    <t xml:space="preserve">Simple lobule, molecular layer</t>
  </si>
  <si>
    <t xml:space="preserve">171606.09240606887</t>
  </si>
  <si>
    <t xml:space="preserve">Crus 1, molecular layer</t>
  </si>
  <si>
    <t xml:space="preserve">192079.61332839547</t>
  </si>
  <si>
    <t xml:space="preserve">Crus 2, molecular layer</t>
  </si>
  <si>
    <t xml:space="preserve">219048.36741868113</t>
  </si>
  <si>
    <t xml:space="preserve">Paramedian lobule, molecular layer</t>
  </si>
  <si>
    <t xml:space="preserve">254640.23743399643</t>
  </si>
  <si>
    <t xml:space="preserve">Copula pyramidis, molecular layer</t>
  </si>
  <si>
    <t xml:space="preserve">305159.7095735922</t>
  </si>
  <si>
    <t xml:space="preserve">Paraflocculus, molecular layer</t>
  </si>
  <si>
    <t xml:space="preserve">219028.9874491938</t>
  </si>
  <si>
    <t xml:space="preserve">Flocculus, molecular layer</t>
  </si>
  <si>
    <t xml:space="preserve">197233.45151199168</t>
  </si>
  <si>
    <t xml:space="preserve">Lingula (I), molecular layer</t>
  </si>
  <si>
    <t xml:space="preserve">204064.25702811245</t>
  </si>
  <si>
    <t xml:space="preserve">138444.99661170092</t>
  </si>
  <si>
    <t xml:space="preserve">169952.035694367</t>
  </si>
  <si>
    <t xml:space="preserve">154342.12120741353</t>
  </si>
  <si>
    <t xml:space="preserve">234474.8747693119</t>
  </si>
  <si>
    <t xml:space="preserve">710722.6654975888</t>
  </si>
  <si>
    <t xml:space="preserve">454162.8690311076</t>
  </si>
  <si>
    <t xml:space="preserve">221540.56708379535</t>
  </si>
  <si>
    <t xml:space="preserve">159008.64869811927</t>
  </si>
  <si>
    <t xml:space="preserve">Posterior complex of the thalamus</t>
  </si>
  <si>
    <t xml:space="preserve">Purely excitatory region</t>
  </si>
  <si>
    <t xml:space="preserve">Ventral posteromedial nucleus of the thalamus</t>
  </si>
  <si>
    <t xml:space="preserve">Ventral posteromedial nucleus of the thalamus, parvicellular part</t>
  </si>
  <si>
    <t xml:space="preserve">PV Density (per mm3)</t>
  </si>
  <si>
    <t xml:space="preserve">SST Density (per mm3)</t>
  </si>
  <si>
    <t xml:space="preserve">VIP Density (per mm3)</t>
  </si>
  <si>
    <t xml:space="preserve">% of neurons coexpressing marker
Percentage of percentage of Gabaergic cells (~19%) applied to densities of neurons in Cell Atlas ( neuron counts / region volume)</t>
  </si>
  <si>
    <t xml:space="preserve">Green fluorescent protein expression and colocalization with calretinin, parvalbumin, and somatostatin in the GAD67-GFP knock-in mouse.</t>
  </si>
  <si>
    <t xml:space="preserve">&gt; 3 months</t>
  </si>
  <si>
    <t xml:space="preserve">Primary motor area, Layer 2/3</t>
  </si>
  <si>
    <t xml:space="preserve">Primary motor area, Layer 5</t>
  </si>
  <si>
    <t xml:space="preserve">Primary motor area, Layer 6a</t>
  </si>
  <si>
    <t xml:space="preserve">Primary motor area, Layer 6b</t>
  </si>
  <si>
    <t xml:space="preserve">Secondary motor area, layer 2/3</t>
  </si>
  <si>
    <t xml:space="preserve">Secondary motor area, layer 5</t>
  </si>
  <si>
    <t xml:space="preserve">Secondary motor area, layer 6a</t>
  </si>
  <si>
    <t xml:space="preserve">Secondary motor area, layer 6b</t>
  </si>
  <si>
    <t xml:space="preserve">Table 3
GFP from marker GAD67
Anterior Piriform Cortex corresponds to the anterior part of the Piriform area (covered by lateral olfactory tracts)
Layer 1 is molecular layer
Layer 2 is pyramidal layer
Layer 3 is polymorph layer
Layer 1 and 2 subdivisions a and b are merged by mean</t>
  </si>
  <si>
    <t xml:space="preserve">Table 2
Densities of PV, VIP, SST neurons</t>
  </si>
  <si>
    <t xml:space="preserve">Fig 8 and 10. Densities of PV+, SST+ cells in wildtype mice extracted from barplot</t>
  </si>
  <si>
    <t xml:space="preserve">Tables 1,2,3
Densities of L5a and L5b have been merged
Same densities for L6a and L6b</t>
  </si>
  <si>
    <t xml:space="preserve">Distribution Patterns of Three Molecularly Defined Classes of GABAergic Neurons Across Columnar Compartments in Mouse Barrel Cortex</t>
  </si>
  <si>
    <t xml:space="preserve">6-8 weeks.</t>
  </si>
  <si>
    <t xml:space="preserve">Table 4
Assume mean density equals to the mean of the dorsal and ventral values</t>
  </si>
  <si>
    <t xml:space="preserve">Cellular architecture of the mouse hippocampus: A quantitative aspect of chemically defined GABAergic neurons with stereology</t>
  </si>
  <si>
    <t xml:space="preserve">Adult</t>
  </si>
  <si>
    <t xml:space="preserve">Table 1
40 μM sections
Assume mean density equals to the mean of the dorsal and ventral region values
Merge primary basal and medial areas
Merge visual cortex lateral and medial zones </t>
  </si>
  <si>
    <t xml:space="preserve">Comparative density of CCK- and PV-GABA cells within the cortex and hippocampus</t>
  </si>
  <si>
    <t xml:space="preserve">3–8 months old</t>
  </si>
  <si>
    <t xml:space="preserve">Dorsal peduncular area</t>
  </si>
  <si>
    <t xml:space="preserve">Infralimbic area</t>
  </si>
  <si>
    <t xml:space="preserve">Primary motor area</t>
  </si>
  <si>
    <t xml:space="preserve">Secondary motor area</t>
  </si>
  <si>
    <t xml:space="preserve">Retrosplenial area, lateral agranular part</t>
  </si>
  <si>
    <t xml:space="preserve">Primary somatosensory area, mouth</t>
  </si>
  <si>
    <t xml:space="preserve">Primary somatosensory area, trunk</t>
  </si>
  <si>
    <t xml:space="preserve">Supplemental somatosensory area</t>
  </si>
  <si>
    <t xml:space="preserve">Lateral visual area</t>
  </si>
  <si>
    <t xml:space="preserve">Posterolateral visual area</t>
  </si>
  <si>
    <t xml:space="preserve">Anterolateral visual area</t>
  </si>
  <si>
    <t xml:space="preserve">Anteromedial visual area</t>
  </si>
  <si>
    <t xml:space="preserve">posteromedial visual area</t>
  </si>
  <si>
    <t xml:space="preserve">Primary auditory area</t>
  </si>
  <si>
    <t xml:space="preserve">Dorsal auditory area</t>
  </si>
  <si>
    <t xml:space="preserve">Ventral auditory area</t>
  </si>
  <si>
    <t xml:space="preserve">Ectorhinal area</t>
  </si>
  <si>
    <t xml:space="preserve">Entorhinal area, medial part, dorsal zone</t>
  </si>
  <si>
    <t xml:space="preserve">Entorhinal area, lateral part</t>
  </si>
  <si>
    <t xml:space="preserve">Perirhinal area</t>
  </si>
  <si>
    <t xml:space="preserve">Temporal association areas</t>
  </si>
  <si>
    <t xml:space="preserve">Characterizing VIP Neurons in the Barrel Cortex of VIPcre/tdTomato Mice Reveals Layer-Specific Differences</t>
  </si>
  <si>
    <t xml:space="preserve">Basic cell groups and regions</t>
  </si>
  <si>
    <t xml:space="preserve">Extracted from text and Figure 6</t>
  </si>
  <si>
    <t xml:space="preserve">A platform for stereological quantitative analysis of the brain-wide distribution of type-specific neurons</t>
  </si>
  <si>
    <t xml:space="preserve">16-week-old</t>
  </si>
  <si>
    <t xml:space="preserve">Hippocampal formation</t>
  </si>
  <si>
    <t xml:space="preserve">Isocortex</t>
  </si>
  <si>
    <t xml:space="preserve">Caudoputamen</t>
  </si>
  <si>
    <t xml:space="preserve">Cerebellum</t>
  </si>
  <si>
    <t xml:space="preserve">Superior Colliculus</t>
  </si>
  <si>
    <t xml:space="preserve">Lateral septal nucleus</t>
  </si>
  <si>
    <t xml:space="preserve">Central amygdalar nucleus</t>
  </si>
  <si>
    <t xml:space="preserve">Basolateral amygdalar nucleus</t>
  </si>
  <si>
    <t xml:space="preserve">Lateral amygdalar nucleus</t>
  </si>
  <si>
    <t xml:space="preserve">Hypothalamus</t>
  </si>
  <si>
    <t xml:space="preserve">Bed nuclei of the stria terminalis</t>
  </si>
  <si>
    <t xml:space="preserve">Piriform area</t>
  </si>
  <si>
    <t xml:space="preserve">Extracted from Figure 8</t>
  </si>
  <si>
    <t xml:space="preserve">Hippocampal region</t>
  </si>
  <si>
    <t xml:space="preserve">Extracted from Figure 1 and 2</t>
  </si>
  <si>
    <t xml:space="preserve">Age‐dependent loss of parvalbumin‐expressing hippocampal interneurons in mice deficient in CHL1, a mental retardation and schizophrenia susceptibility gene</t>
  </si>
  <si>
    <t xml:space="preserve">6-month-old </t>
  </si>
  <si>
    <t xml:space="preserve">Extracted from figure 3B
40um thick slices
density = counts/mm^2/40*1000
n=6</t>
  </si>
  <si>
    <t xml:space="preserve">Deletion of Selenoprotein M Leads to Obesity without Cognitive Deficits</t>
  </si>
  <si>
    <t xml:space="preserve">12–20 weeks</t>
  </si>
  <si>
    <t xml:space="preserve">Triangular nucleus of septum</t>
  </si>
  <si>
    <t xml:space="preserve">Field CA2</t>
  </si>
  <si>
    <t xml:space="preserve">Inferior colliculus</t>
  </si>
  <si>
    <t xml:space="preserve">Extracted from Figure 1I
50um thick slices
density = counts/mm^2/50*1000</t>
  </si>
  <si>
    <t xml:space="preserve">Heterozygosity for the mutated X-chromosome-linked L1 celladhesion molecule gene leads to increased numbers of neuronsand enhanced metabolism in the forebrain of female carrier mice</t>
  </si>
  <si>
    <t xml:space="preserve"> 4-month-old</t>
  </si>
  <si>
    <t xml:space="preserve">Extracted from Figure 1CE
n=4</t>
  </si>
  <si>
    <t xml:space="preserve">ProNGF Drives Localized and Cell Selective Parvalbumin Interneuron and Perineuronal Net Depletion in the Dentate Gyrus of Transgenic Mice</t>
  </si>
  <si>
    <t xml:space="preserve">12 months</t>
  </si>
  <si>
    <t xml:space="preserve">Extracted from Figure 7</t>
  </si>
  <si>
    <t xml:space="preserve">Extracted from figure S1
Volume = mean depth of barrel cortex * 0.1mm * 0.24 mm</t>
  </si>
  <si>
    <t xml:space="preserve">Circuits in the absence of cortical layers: increased callosal connectivity in reeler mice revealed by brain-wide input mapping of VIP neurons in barrel cortex</t>
  </si>
  <si>
    <t xml:space="preserve">12-20 weeks-old</t>
  </si>
  <si>
    <t xml:space="preserve">Entorhinal area</t>
  </si>
  <si>
    <t xml:space="preserve">Extracted from Figure 1</t>
  </si>
  <si>
    <t xml:space="preserve">Extracellular Amyloid- β and Cytotoxic Glial Activation Induce Significant Entorhinal Neuron Loss in Young PS1 M 146L /APP 751SL Mice</t>
  </si>
  <si>
    <t xml:space="preserve">6 months</t>
  </si>
  <si>
    <t xml:space="preserve">Extracted from Figure 1 and text</t>
  </si>
  <si>
    <t xml:space="preserve">Early Neuronal Loss and Axonal/PresynapticDamage is Associated with AcceleratedAmyloid-_x005F_x005F_x0001_Accumulation in A_x005F_x005F_x0001_PP/PS1Alzheimer’s Disease Mice Subiculum</t>
  </si>
  <si>
    <t xml:space="preserve">40 μm coronal slices
Extracted from Figure 1
n=4 for PV
n=7 for SST
n=6 for VIP</t>
  </si>
  <si>
    <t xml:space="preserve">Cortical distribution of GABAergic interneurons is determinedby migration time and brain size</t>
  </si>
  <si>
    <t xml:space="preserve">P14</t>
  </si>
  <si>
    <t xml:space="preserve">Visual areas</t>
  </si>
  <si>
    <t xml:space="preserve">Frontal pole, cerebral cortex</t>
  </si>
  <si>
    <t xml:space="preserve">Densities extracted from suplementary table 1
n = 4</t>
  </si>
  <si>
    <t xml:space="preserve">Densities and numbers of calbindin and parvalbumin positive neurons across the rat and mouse brain</t>
  </si>
  <si>
    <t xml:space="preserve">6  months  old</t>
  </si>
  <si>
    <t xml:space="preserve">Primary somatosensory area, nose</t>
  </si>
  <si>
    <t xml:space="preserve">Primary somatosensory area, lower limb</t>
  </si>
  <si>
    <t xml:space="preserve">Primary somatosensory area, upper limb</t>
  </si>
  <si>
    <t xml:space="preserve">Primary somatosensory area, unassigned</t>
  </si>
  <si>
    <t xml:space="preserve">Gustatory areas</t>
  </si>
  <si>
    <t xml:space="preserve">Visceral area</t>
  </si>
  <si>
    <t xml:space="preserve">Posterior auditory area</t>
  </si>
  <si>
    <t xml:space="preserve">Laterointermediate area</t>
  </si>
  <si>
    <t xml:space="preserve">Postrhinal area</t>
  </si>
  <si>
    <t xml:space="preserve">Anterior cingulate area, dorsal part</t>
  </si>
  <si>
    <t xml:space="preserve">Anterior cingulate area, ventral part</t>
  </si>
  <si>
    <t xml:space="preserve">Orbital area</t>
  </si>
  <si>
    <t xml:space="preserve">Agranular insular area</t>
  </si>
  <si>
    <t xml:space="preserve">Retrosplenial area, dorsal part</t>
  </si>
  <si>
    <t xml:space="preserve">Retrosplenial area, ventral part</t>
  </si>
  <si>
    <t xml:space="preserve">Posterior parietal association areas</t>
  </si>
  <si>
    <t xml:space="preserve">Accessory olfactory bulb</t>
  </si>
  <si>
    <t xml:space="preserve">Anterior olfactory nucleus</t>
  </si>
  <si>
    <t xml:space="preserve">Taenia tecta</t>
  </si>
  <si>
    <t xml:space="preserve">Nucleus of the lateral olfactory tract</t>
  </si>
  <si>
    <t xml:space="preserve">Cortical amygdalar area</t>
  </si>
  <si>
    <t xml:space="preserve">Postpiriform transition area</t>
  </si>
  <si>
    <t xml:space="preserve">Induseum griseum</t>
  </si>
  <si>
    <t xml:space="preserve">Fasciola cinerea</t>
  </si>
  <si>
    <t xml:space="preserve">Entorhinal area, medial part, ventral zone</t>
  </si>
  <si>
    <t xml:space="preserve">Parasubiculum</t>
  </si>
  <si>
    <t xml:space="preserve">Postsubiculum</t>
  </si>
  <si>
    <t xml:space="preserve">Presubiculum</t>
  </si>
  <si>
    <t xml:space="preserve">Prosubiculum</t>
  </si>
  <si>
    <t xml:space="preserve">Hippocampo-amygdalar transition area</t>
  </si>
  <si>
    <t xml:space="preserve">Area prostriata</t>
  </si>
  <si>
    <t xml:space="preserve">Claustrum</t>
  </si>
  <si>
    <t xml:space="preserve">Basomedial amygdalar nucleus</t>
  </si>
  <si>
    <t xml:space="preserve">Posterior amygdalar nucleus</t>
  </si>
  <si>
    <t xml:space="preserve">Striatum ventral region</t>
  </si>
  <si>
    <t xml:space="preserve">Olfactory tubercle</t>
  </si>
  <si>
    <t xml:space="preserve">Lateral septal complex</t>
  </si>
  <si>
    <t xml:space="preserve">Striatum-like amygdalar nuclei</t>
  </si>
  <si>
    <t xml:space="preserve">Pallidum, ventral region</t>
  </si>
  <si>
    <t xml:space="preserve">Pallidum, medial region</t>
  </si>
  <si>
    <t xml:space="preserve">Ventral group of the dorsal thalamus</t>
  </si>
  <si>
    <t xml:space="preserve">Subparafascicular nucleus</t>
  </si>
  <si>
    <t xml:space="preserve">Subparafascicular area</t>
  </si>
  <si>
    <t xml:space="preserve">Peripeduncular nucleus</t>
  </si>
  <si>
    <t xml:space="preserve">Geniculate group, dorsal thalamus</t>
  </si>
  <si>
    <t xml:space="preserve">Lateral group of the dorsal thalamus</t>
  </si>
  <si>
    <t xml:space="preserve">Anterior group of the dorsal thalamus</t>
  </si>
  <si>
    <t xml:space="preserve">Medial group of the dorsal thalamus</t>
  </si>
  <si>
    <t xml:space="preserve">Midline group of the dorsal thalamus</t>
  </si>
  <si>
    <t xml:space="preserve">Intralaminar nuclei of the dorsal thalamus</t>
  </si>
  <si>
    <t xml:space="preserve">Geniculate group, ventral thalamus</t>
  </si>
  <si>
    <t xml:space="preserve">Epithalamus</t>
  </si>
  <si>
    <t xml:space="preserve">Periventricular zone</t>
  </si>
  <si>
    <t xml:space="preserve">Periventricular region</t>
  </si>
  <si>
    <t xml:space="preserve">Anterior hypothalamic nucleus</t>
  </si>
  <si>
    <t xml:space="preserve">Mammillary body</t>
  </si>
  <si>
    <t xml:space="preserve">Medial preoptic nucleus</t>
  </si>
  <si>
    <t xml:space="preserve">Dorsal premammillary nucleus</t>
  </si>
  <si>
    <t xml:space="preserve">Ventral premammillary nucleus</t>
  </si>
  <si>
    <t xml:space="preserve">Paraventricular hypothalamic nucleus, descending division</t>
  </si>
  <si>
    <t xml:space="preserve">Ventromedial hypothalamic nucleus</t>
  </si>
  <si>
    <t xml:space="preserve">Posterior hypothalamic nucleus</t>
  </si>
  <si>
    <t xml:space="preserve">Hypothalamic lateral zone</t>
  </si>
  <si>
    <t xml:space="preserve">Median eminence</t>
  </si>
  <si>
    <t xml:space="preserve">Superior colliculus, sensory related</t>
  </si>
  <si>
    <t xml:space="preserve">Nucleus of the brachium of the inferior colliculus</t>
  </si>
  <si>
    <t xml:space="preserve">Nucleus sagulum</t>
  </si>
  <si>
    <t xml:space="preserve">Parabigeminal nucleus</t>
  </si>
  <si>
    <t xml:space="preserve">Midbrain trigeminal nucleus</t>
  </si>
  <si>
    <t xml:space="preserve">Substantia nigra, reticular part</t>
  </si>
  <si>
    <t xml:space="preserve">Substantia nigra, compact part</t>
  </si>
  <si>
    <t xml:space="preserve">Ventral tegmental area</t>
  </si>
  <si>
    <t xml:space="preserve">Subcommissural organ</t>
  </si>
  <si>
    <t xml:space="preserve">Paranigral nucleus</t>
  </si>
  <si>
    <t xml:space="preserve">Midbrain reticular nucleus</t>
  </si>
  <si>
    <t xml:space="preserve">Superior colliculus, motor related</t>
  </si>
  <si>
    <t xml:space="preserve">Periaqueductal gray</t>
  </si>
  <si>
    <t xml:space="preserve">Pretectal region</t>
  </si>
  <si>
    <t xml:space="preserve">Midbrain, motor related, other</t>
  </si>
  <si>
    <t xml:space="preserve">Pedunculopontine nucleus</t>
  </si>
  <si>
    <t xml:space="preserve">Midbrain raphe nuclei</t>
  </si>
  <si>
    <t xml:space="preserve">Medulla, unassigned</t>
  </si>
  <si>
    <t xml:space="preserve">Medulla, sensory related</t>
  </si>
  <si>
    <t xml:space="preserve">Medulla, motor related</t>
  </si>
  <si>
    <t xml:space="preserve">Medulla, behavioral state related</t>
  </si>
  <si>
    <t xml:space="preserve">Pons, sensory related</t>
  </si>
  <si>
    <t xml:space="preserve">Pons, motor related</t>
  </si>
  <si>
    <t xml:space="preserve">Pons, behavioral state related</t>
  </si>
  <si>
    <t xml:space="preserve">From suplementary table</t>
  </si>
  <si>
    <t xml:space="preserve">Defective synaptic transmission causesdisease signs in a mouse model of juvenileneuronal ceroid lipofuscinosis</t>
  </si>
  <si>
    <t xml:space="preserve">14 months</t>
  </si>
  <si>
    <t xml:space="preserve">Counts extracted from Table 2
Volumes extracted from the figures 1, 3, 4</t>
  </si>
  <si>
    <t xml:space="preserve">Dysregulation of Parvalbumin Expression in the Cntnap2–/– Mouse Model of Autism Spectrum Disorder</t>
  </si>
  <si>
    <t xml:space="preserve">P25</t>
  </si>
  <si>
    <t xml:space="preserve">Total counts of striatum divided by the volume of the cell atlas
n=3</t>
  </si>
  <si>
    <t xml:space="preserve">Striatal Cholinergic Interneurons in a Knock-in Mouse Model of L-DOPA-Responsive Dystonia</t>
  </si>
  <si>
    <t xml:space="preserve">3 months old</t>
  </si>
  <si>
    <t xml:space="preserve">Counts extracted from Table 1
n=12
9.17±0.08 mm^3</t>
  </si>
  <si>
    <t xml:space="preserve">Subtle microstructural changes of the striatum in a DYT1 knock-in mouse modelof dystonia</t>
  </si>
  <si>
    <t xml:space="preserve">3-6 months</t>
  </si>
  <si>
    <t xml:space="preserve">thickness 20 μm 
n=3</t>
  </si>
  <si>
    <t xml:space="preserve">Social Stimulus Causes Aberrant Activation of the Medial Prefrontal Cortex in a Mouse Model With Autism-Like Behaviors</t>
  </si>
  <si>
    <t xml:space="preserve">Zone 35 =  transentorhinal  cortex -&gt; perhinal area
Zone 36 = ectorhinal  cortex</t>
  </si>
  <si>
    <t xml:space="preserve">Distinct disease-sensitive GABAergic neurons in the perirhinal cortex of Alzheimer's mice and patients</t>
  </si>
  <si>
    <t xml:space="preserve">Extracted from text and figure 2E</t>
  </si>
  <si>
    <t xml:space="preserve">Early neuropathology of somatostatin/NPY GABAergic cells in thehippocampus of a PS1×APP transgenic model of Alzheimer’s disease</t>
  </si>
  <si>
    <t xml:space="preserve">Brain region</t>
  </si>
  <si>
    <t xml:space="preserve">Cell Type</t>
  </si>
  <si>
    <t xml:space="preserve">Density in mm^-3</t>
  </si>
  <si>
    <t xml:space="preserve">std</t>
  </si>
  <si>
    <t xml:space="preserve">Ref</t>
  </si>
  <si>
    <t xml:space="preserve">Notes</t>
  </si>
  <si>
    <t xml:space="preserve">PV</t>
  </si>
  <si>
    <t xml:space="preserve">Neurogenesis and StereologicalMorphometry of Calretinin-Immunoreactive GABAergicInterneurons of the Neostriatum</t>
  </si>
  <si>
    <t xml:space="preserve">Percentage extracted from rat</t>
  </si>
  <si>
    <t xml:space="preserve">SST</t>
  </si>
  <si>
    <t xml:space="preserve">CR </t>
  </si>
  <si>
    <t xml:space="preserve">NPY</t>
  </si>
  <si>
    <t xml:space="preserve">A Novel Functionally Distinct Subtype of StriatalNeuropeptide Y Interneuron</t>
  </si>
  <si>
    <t xml:space="preserve">cortex</t>
  </si>
  <si>
    <t xml:space="preserve">CCK</t>
  </si>
  <si>
    <t xml:space="preserve">hippocampus</t>
  </si>
  <si>
    <t xml:space="preserve">Somatomotor areas, layer 1</t>
  </si>
  <si>
    <t xml:space="preserve">Somatomotor areas, layer 2/3</t>
  </si>
  <si>
    <t xml:space="preserve">Somatomotor areas, layer 5</t>
  </si>
  <si>
    <t xml:space="preserve">Somatomotor areas, layer 6</t>
  </si>
  <si>
    <t xml:space="preserve">VIP</t>
  </si>
  <si>
    <t xml:space="preserve">Assume mean density equals to the mean in the dorsal and ventral volumes
from Table 4</t>
  </si>
  <si>
    <t xml:space="preserve">CB</t>
  </si>
  <si>
    <t xml:space="preserve">NOS</t>
  </si>
  <si>
    <t xml:space="preserve">Dentate gyrus, granule layer</t>
  </si>
  <si>
    <t xml:space="preserve">
</t>
  </si>
  <si>
    <t xml:space="preserve">Diversity among principal and GABAergic neurons of the anterior olfactory nucleus</t>
  </si>
  <si>
    <t xml:space="preserve">CR PV CB VIP NPY SOM CCK percentages according to GAD67</t>
  </si>
  <si>
    <t xml:space="preserve">2–3 month</t>
  </si>
  <si>
    <t xml:space="preserve">Prelimbic area, layer 2</t>
  </si>
  <si>
    <t xml:space="preserve">Prelimbic area, layer 3</t>
  </si>
  <si>
    <t xml:space="preserve">Primary somatosensory area, layer 2</t>
  </si>
  <si>
    <t xml:space="preserve">Primary somatosensory area, layer 3</t>
  </si>
  <si>
    <t xml:space="preserve">Primary visual area, layer 2</t>
  </si>
  <si>
    <t xml:space="preserve">Primary visual area, layer 3</t>
  </si>
  <si>
    <t xml:space="preserve">Immunochemical characterization of inhibitory mouse cortical neurons: Three chemically distinct classes of inhibitory cells</t>
  </si>
</sst>
</file>

<file path=xl/styles.xml><?xml version="1.0" encoding="utf-8"?>
<styleSheet xmlns="http://schemas.openxmlformats.org/spreadsheetml/2006/main">
  <numFmts count="1">
    <numFmt numFmtId="164" formatCode="General"/>
  </numFmts>
  <fonts count="12">
    <font>
      <sz val="10"/>
      <color rgb="FF000000"/>
      <name val="Arial"/>
      <family val="0"/>
      <charset val="1"/>
    </font>
    <font>
      <sz val="10"/>
      <name val="Arial"/>
      <family val="0"/>
    </font>
    <font>
      <sz val="10"/>
      <name val="Arial"/>
      <family val="0"/>
    </font>
    <font>
      <sz val="10"/>
      <name val="Arial"/>
      <family val="0"/>
    </font>
    <font>
      <sz val="14"/>
      <color rgb="FF000000"/>
      <name val="Arial"/>
      <family val="0"/>
      <charset val="1"/>
    </font>
    <font>
      <sz val="11"/>
      <color rgb="FF000000"/>
      <name val="Arial"/>
      <family val="0"/>
      <charset val="1"/>
    </font>
    <font>
      <strike val="true"/>
      <sz val="11"/>
      <color rgb="FF000000"/>
      <name val="Arial"/>
      <family val="0"/>
      <charset val="1"/>
    </font>
    <font>
      <sz val="11"/>
      <color rgb="FF000000"/>
      <name val="&quot;Arial&quot;"/>
      <family val="0"/>
      <charset val="1"/>
    </font>
    <font>
      <sz val="11"/>
      <name val="Cambria"/>
      <family val="0"/>
      <charset val="1"/>
    </font>
    <font>
      <sz val="11"/>
      <color rgb="FF1D1C1D"/>
      <name val="Arial"/>
      <family val="0"/>
      <charset val="1"/>
    </font>
    <font>
      <sz val="11"/>
      <color rgb="FF1C1D1E"/>
      <name val="Arial"/>
      <family val="0"/>
      <charset val="1"/>
    </font>
    <font>
      <sz val="10"/>
      <color rgb="FF1C1D1E"/>
      <name val="Arial"/>
      <family val="0"/>
      <charset val="1"/>
    </font>
  </fonts>
  <fills count="5">
    <fill>
      <patternFill patternType="none"/>
    </fill>
    <fill>
      <patternFill patternType="gray125"/>
    </fill>
    <fill>
      <patternFill patternType="solid">
        <fgColor rgb="FFF8F8F8"/>
        <bgColor rgb="FFFFFFFF"/>
      </patternFill>
    </fill>
    <fill>
      <patternFill patternType="solid">
        <fgColor rgb="FFFFFFFF"/>
        <bgColor rgb="FFF8F8F8"/>
      </patternFill>
    </fill>
    <fill>
      <patternFill patternType="solid">
        <fgColor rgb="FFF9CB9C"/>
        <bgColor rgb="FFC0C0C0"/>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9" fillId="2" borderId="0" xfId="0" applyFont="true" applyBorder="true" applyAlignment="true" applyProtection="false">
      <alignment horizontal="left"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3" borderId="0" xfId="0" applyFont="true" applyBorder="true" applyAlignment="false" applyProtection="false">
      <alignment horizontal="general" vertical="bottom" textRotation="0" wrapText="false" indent="0" shrinkToFit="false"/>
      <protection locked="true" hidden="false"/>
    </xf>
    <xf numFmtId="164" fontId="5" fillId="4"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8F8F8"/>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9CB9C"/>
      <rgbColor rgb="FF3366FF"/>
      <rgbColor rgb="FF33CCCC"/>
      <rgbColor rgb="FF99CC00"/>
      <rgbColor rgb="FFFFCC00"/>
      <rgbColor rgb="FFFF9900"/>
      <rgbColor rgb="FFFF6600"/>
      <rgbColor rgb="FF666699"/>
      <rgbColor rgb="FF969696"/>
      <rgbColor rgb="FF003366"/>
      <rgbColor rgb="FF339966"/>
      <rgbColor rgb="FF003300"/>
      <rgbColor rgb="FF1D1C1D"/>
      <rgbColor rgb="FF993300"/>
      <rgbColor rgb="FF993366"/>
      <rgbColor rgb="FF333399"/>
      <rgbColor rgb="FF1C1D1E"/>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A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1" ySplit="1" topLeftCell="B107" activePane="bottomRight" state="frozen"/>
      <selection pane="topLeft" activeCell="A1" activeCellId="0" sqref="A1"/>
      <selection pane="topRight" activeCell="B1" activeCellId="0" sqref="B1"/>
      <selection pane="bottomLeft" activeCell="A107" activeCellId="0" sqref="A107"/>
      <selection pane="bottomRight" activeCell="B126" activeCellId="0" sqref="B126"/>
    </sheetView>
  </sheetViews>
  <sheetFormatPr defaultRowHeight="15" zeroHeight="false" outlineLevelRow="0" outlineLevelCol="0"/>
  <cols>
    <col collapsed="false" customWidth="true" hidden="false" outlineLevel="0" max="1" min="1" style="0" width="44.58"/>
    <col collapsed="false" customWidth="true" hidden="false" outlineLevel="0" max="3" min="2" style="0" width="22.57"/>
    <col collapsed="false" customWidth="true" hidden="false" outlineLevel="0" max="4" min="4" style="0" width="69.29"/>
    <col collapsed="false" customWidth="true" hidden="false" outlineLevel="0" max="5" min="5" style="0" width="112.14"/>
    <col collapsed="false" customWidth="true" hidden="false" outlineLevel="0" max="6" min="6" style="0" width="14.43"/>
    <col collapsed="false" customWidth="true" hidden="false" outlineLevel="0" max="7" min="7" style="0" width="11.43"/>
    <col collapsed="false" customWidth="true" hidden="false" outlineLevel="0" max="8" min="8" style="0" width="23.01"/>
    <col collapsed="false" customWidth="true" hidden="false" outlineLevel="0" max="1025" min="9" style="0" width="14.43"/>
  </cols>
  <sheetData>
    <row r="1" customFormat="false" ht="15.75" hidden="false" customHeight="true" outlineLevel="0" collapsed="false">
      <c r="A1" s="1" t="s">
        <v>0</v>
      </c>
      <c r="B1" s="1" t="s">
        <v>1</v>
      </c>
      <c r="C1" s="2" t="s">
        <v>2</v>
      </c>
      <c r="D1" s="1" t="s">
        <v>3</v>
      </c>
      <c r="E1" s="1" t="s">
        <v>4</v>
      </c>
      <c r="F1" s="1" t="s">
        <v>5</v>
      </c>
      <c r="G1" s="1" t="s">
        <v>6</v>
      </c>
      <c r="H1" s="1" t="s">
        <v>7</v>
      </c>
    </row>
    <row r="2" customFormat="false" ht="15.75" hidden="false" customHeight="true" outlineLevel="0" collapsed="false">
      <c r="A2" s="3" t="s">
        <v>8</v>
      </c>
      <c r="B2" s="3" t="n">
        <f aca="false">(13000+4500)/2</f>
        <v>8750</v>
      </c>
      <c r="C2" s="3" t="n">
        <f aca="false">(0.1 +0.05)*SQRT(31) *10000/2</f>
        <v>4175.823272</v>
      </c>
      <c r="D2" s="4" t="s">
        <v>9</v>
      </c>
      <c r="E2" s="4" t="s">
        <v>10</v>
      </c>
      <c r="F2" s="4" t="s">
        <v>11</v>
      </c>
      <c r="G2" s="3" t="n">
        <v>0</v>
      </c>
      <c r="H2" s="3"/>
      <c r="I2" s="3"/>
    </row>
    <row r="3" customFormat="false" ht="15.75" hidden="false" customHeight="true" outlineLevel="0" collapsed="false">
      <c r="A3" s="3" t="s">
        <v>12</v>
      </c>
      <c r="B3" s="3" t="n">
        <f aca="false">(14000+25000)/2</f>
        <v>19500</v>
      </c>
      <c r="C3" s="3" t="n">
        <f aca="false">(0.1+0.1)*SQRT(31) *10000</f>
        <v>11135.52873</v>
      </c>
      <c r="D3" s="4"/>
      <c r="E3" s="4"/>
      <c r="F3" s="4"/>
      <c r="G3" s="3" t="n">
        <v>0</v>
      </c>
      <c r="H3" s="3"/>
      <c r="I3" s="3"/>
    </row>
    <row r="4" customFormat="false" ht="15.75" hidden="false" customHeight="true" outlineLevel="0" collapsed="false">
      <c r="A4" s="3" t="s">
        <v>13</v>
      </c>
      <c r="B4" s="3" t="n">
        <v>27000</v>
      </c>
      <c r="C4" s="3" t="n">
        <f aca="false">0.1*SQRT(31) *10000</f>
        <v>5567.76436283002</v>
      </c>
      <c r="D4" s="4"/>
      <c r="E4" s="4"/>
      <c r="F4" s="4"/>
      <c r="G4" s="3" t="n">
        <v>0</v>
      </c>
      <c r="H4" s="3"/>
      <c r="I4" s="3"/>
    </row>
    <row r="5" customFormat="false" ht="15.75" hidden="false" customHeight="true" outlineLevel="0" collapsed="false">
      <c r="A5" s="3" t="s">
        <v>14</v>
      </c>
      <c r="B5" s="3" t="n">
        <v>29000</v>
      </c>
      <c r="C5" s="3" t="n">
        <f aca="false">0.1*SQRT(31) *10000</f>
        <v>5567.76436283002</v>
      </c>
      <c r="D5" s="4"/>
      <c r="E5" s="4"/>
      <c r="F5" s="4"/>
      <c r="G5" s="3" t="n">
        <v>0</v>
      </c>
      <c r="H5" s="3"/>
      <c r="I5" s="3"/>
    </row>
    <row r="6" customFormat="false" ht="15.75" hidden="false" customHeight="true" outlineLevel="0" collapsed="false">
      <c r="A6" s="3" t="s">
        <v>15</v>
      </c>
      <c r="B6" s="3" t="n">
        <f aca="false">(7+6.2+8.3)/3*1000</f>
        <v>7166.666667</v>
      </c>
      <c r="C6" s="3" t="n">
        <f aca="false">(0.3+0.4+0.9)/3*1000</f>
        <v>533.3333333</v>
      </c>
      <c r="D6" s="4" t="s">
        <v>16</v>
      </c>
      <c r="E6" s="4" t="s">
        <v>17</v>
      </c>
      <c r="F6" s="4" t="s">
        <v>11</v>
      </c>
      <c r="G6" s="3" t="n">
        <v>0</v>
      </c>
      <c r="H6" s="3"/>
      <c r="I6" s="3"/>
    </row>
    <row r="7" customFormat="false" ht="15.75" hidden="false" customHeight="true" outlineLevel="0" collapsed="false">
      <c r="A7" s="3" t="s">
        <v>18</v>
      </c>
      <c r="B7" s="3" t="n">
        <f aca="false">AVERAGE(6.5,5.9,10.5)*1000</f>
        <v>7633.333333</v>
      </c>
      <c r="C7" s="3" t="n">
        <f aca="false">AVERAGE(0.4,0.9,0.6)*1000</f>
        <v>633.3333333</v>
      </c>
      <c r="D7" s="4"/>
      <c r="E7" s="4"/>
      <c r="F7" s="4"/>
      <c r="G7" s="3" t="n">
        <v>0</v>
      </c>
      <c r="H7" s="3"/>
      <c r="I7" s="3"/>
    </row>
    <row r="8" customFormat="false" ht="15.75" hidden="false" customHeight="true" outlineLevel="0" collapsed="false">
      <c r="A8" s="3" t="s">
        <v>19</v>
      </c>
      <c r="B8" s="3" t="n">
        <f aca="false">AVERAGE(13.5,12.6,10.1)*1000</f>
        <v>12066.66667</v>
      </c>
      <c r="C8" s="3" t="n">
        <f aca="false">AVERAGE(0.9,1.1,1.6)*1000</f>
        <v>1200</v>
      </c>
      <c r="D8" s="4"/>
      <c r="E8" s="4"/>
      <c r="F8" s="4"/>
      <c r="G8" s="3" t="n">
        <v>0</v>
      </c>
      <c r="H8" s="3"/>
      <c r="I8" s="3"/>
    </row>
    <row r="9" customFormat="false" ht="15.75" hidden="false" customHeight="true" outlineLevel="0" collapsed="false">
      <c r="A9" s="3" t="s">
        <v>20</v>
      </c>
      <c r="B9" s="3" t="n">
        <f aca="false">AVERAGE(3.2,2.4,4.3)*1000</f>
        <v>3300</v>
      </c>
      <c r="C9" s="3" t="n">
        <f aca="false">AVERAGE(0.8,0.3,0.5)*1000</f>
        <v>533.3333333</v>
      </c>
      <c r="D9" s="4"/>
      <c r="E9" s="4"/>
      <c r="F9" s="4"/>
      <c r="G9" s="3" t="n">
        <v>0</v>
      </c>
      <c r="H9" s="3"/>
      <c r="I9" s="3"/>
    </row>
    <row r="10" customFormat="false" ht="15.75" hidden="false" customHeight="true" outlineLevel="0" collapsed="false">
      <c r="A10" s="3" t="s">
        <v>21</v>
      </c>
      <c r="B10" s="3" t="n">
        <f aca="false">AVERAGE(8.4,8.3,8.8)*1000</f>
        <v>8500</v>
      </c>
      <c r="C10" s="3" t="n">
        <f aca="false">AVERAGE(0.9,0.2,1.1)*1000</f>
        <v>733.3333333</v>
      </c>
      <c r="D10" s="4"/>
      <c r="E10" s="4"/>
      <c r="F10" s="4"/>
      <c r="G10" s="3" t="n">
        <v>0</v>
      </c>
      <c r="H10" s="3"/>
      <c r="I10" s="3"/>
    </row>
    <row r="11" customFormat="false" ht="15.75" hidden="false" customHeight="true" outlineLevel="0" collapsed="false">
      <c r="A11" s="3" t="s">
        <v>22</v>
      </c>
      <c r="B11" s="3" t="n">
        <f aca="false">AVERAGE(3.2,4.5,5.5)*1000</f>
        <v>4400</v>
      </c>
      <c r="C11" s="3" t="n">
        <f aca="false">AVERAGE(1,1,1.2)*1000</f>
        <v>1066.666667</v>
      </c>
      <c r="D11" s="4"/>
      <c r="E11" s="4"/>
      <c r="F11" s="4"/>
      <c r="G11" s="3" t="n">
        <v>0</v>
      </c>
      <c r="H11" s="3"/>
      <c r="I11" s="3"/>
    </row>
    <row r="12" customFormat="false" ht="15.75" hidden="false" customHeight="true" outlineLevel="0" collapsed="false">
      <c r="A12" s="3" t="s">
        <v>23</v>
      </c>
      <c r="B12" s="3" t="n">
        <f aca="false">AVERAGE(7.6,8,10.5)*1000</f>
        <v>8700</v>
      </c>
      <c r="C12" s="3" t="n">
        <f aca="false">AVERAGE(0.7,0.6,1.4)*1000</f>
        <v>900</v>
      </c>
      <c r="D12" s="4"/>
      <c r="E12" s="4"/>
      <c r="F12" s="4"/>
      <c r="G12" s="3" t="n">
        <v>0</v>
      </c>
      <c r="H12" s="3"/>
      <c r="I12" s="3"/>
    </row>
    <row r="13" customFormat="false" ht="15.75" hidden="false" customHeight="true" outlineLevel="0" collapsed="false">
      <c r="A13" s="3" t="s">
        <v>24</v>
      </c>
      <c r="B13" s="3" t="n">
        <f aca="false">AVERAGE(2.6,3.4,4.6)*1000</f>
        <v>3533.333333</v>
      </c>
      <c r="C13" s="3" t="n">
        <f aca="false">AVERAGE(0.8,1.1,0.7)*1000</f>
        <v>866.6666667</v>
      </c>
      <c r="D13" s="4"/>
      <c r="E13" s="4"/>
      <c r="F13" s="4"/>
      <c r="G13" s="3" t="n">
        <v>0</v>
      </c>
      <c r="H13" s="3"/>
      <c r="I13" s="3"/>
    </row>
    <row r="14" customFormat="false" ht="15.75" hidden="false" customHeight="true" outlineLevel="0" collapsed="false">
      <c r="A14" s="3" t="s">
        <v>25</v>
      </c>
      <c r="B14" s="3" t="n">
        <f aca="false">AVERAGE(7.9,5.5,6.6)*1000</f>
        <v>6666.666667</v>
      </c>
      <c r="C14" s="3" t="n">
        <f aca="false">AVERAGE(0.7,0.3,0.6)*1000</f>
        <v>533.3333333</v>
      </c>
      <c r="D14" s="4"/>
      <c r="E14" s="4"/>
      <c r="F14" s="4"/>
      <c r="G14" s="3" t="n">
        <v>0</v>
      </c>
      <c r="H14" s="3"/>
      <c r="I14" s="3"/>
    </row>
    <row r="15" customFormat="false" ht="15.75" hidden="false" customHeight="true" outlineLevel="0" collapsed="false">
      <c r="A15" s="3" t="s">
        <v>26</v>
      </c>
      <c r="B15" s="3" t="n">
        <f aca="false">AVERAGE(5.8,5.4,7.2)*1000</f>
        <v>6133.333333</v>
      </c>
      <c r="C15" s="3" t="n">
        <f aca="false">AVERAGE(1.4,2.8,1)*1000</f>
        <v>1733.333333</v>
      </c>
      <c r="D15" s="4"/>
      <c r="E15" s="4"/>
      <c r="F15" s="4"/>
      <c r="G15" s="3" t="n">
        <v>0</v>
      </c>
      <c r="H15" s="3"/>
      <c r="I15" s="3"/>
    </row>
    <row r="16" customFormat="false" ht="15.75" hidden="false" customHeight="true" outlineLevel="0" collapsed="false">
      <c r="A16" s="3" t="s">
        <v>27</v>
      </c>
      <c r="B16" s="3" t="n">
        <f aca="false">(5.7+5.7+7.1)/3*1000</f>
        <v>6166.666667</v>
      </c>
      <c r="C16" s="3" t="n">
        <f aca="false">(0.7+0.4+0.7)/3*1000</f>
        <v>600</v>
      </c>
      <c r="D16" s="4"/>
      <c r="E16" s="4"/>
      <c r="F16" s="4"/>
      <c r="G16" s="3" t="n">
        <v>0</v>
      </c>
      <c r="H16" s="3"/>
      <c r="I16" s="3"/>
    </row>
    <row r="17" customFormat="false" ht="15.75" hidden="false" customHeight="true" outlineLevel="0" collapsed="false">
      <c r="A17" s="3" t="s">
        <v>28</v>
      </c>
      <c r="B17" s="3" t="n">
        <f aca="false">4*1000</f>
        <v>4000</v>
      </c>
      <c r="C17" s="3" t="n">
        <f aca="false">0.4*1000</f>
        <v>400</v>
      </c>
      <c r="D17" s="4"/>
      <c r="E17" s="4"/>
      <c r="F17" s="4"/>
      <c r="G17" s="3" t="n">
        <v>0</v>
      </c>
      <c r="H17" s="3"/>
      <c r="I17" s="3"/>
    </row>
    <row r="18" customFormat="false" ht="15.75" hidden="false" customHeight="true" outlineLevel="0" collapsed="false">
      <c r="A18" s="3" t="s">
        <v>29</v>
      </c>
      <c r="B18" s="3" t="n">
        <f aca="false">AVERAGE(7,6.1,11.3)*1000</f>
        <v>8133.333333</v>
      </c>
      <c r="C18" s="3" t="n">
        <f aca="false">AVERAGE(0.5,3.3,1)*1000</f>
        <v>1600</v>
      </c>
      <c r="D18" s="4"/>
      <c r="E18" s="4"/>
      <c r="F18" s="4"/>
      <c r="G18" s="3" t="n">
        <v>0</v>
      </c>
      <c r="H18" s="3"/>
      <c r="I18" s="3"/>
    </row>
    <row r="19" customFormat="false" ht="15.75" hidden="false" customHeight="true" outlineLevel="0" collapsed="false">
      <c r="A19" s="3" t="s">
        <v>30</v>
      </c>
      <c r="B19" s="3" t="n">
        <f aca="false">AVERAGE(7.7,9.3,11.9)*1000</f>
        <v>9633.333333</v>
      </c>
      <c r="C19" s="3" t="n">
        <f aca="false">AVERAGE(1,1.2,1.8)*1000</f>
        <v>1333.333333</v>
      </c>
      <c r="D19" s="4"/>
      <c r="E19" s="4"/>
      <c r="F19" s="4"/>
      <c r="G19" s="3" t="n">
        <v>0</v>
      </c>
      <c r="H19" s="3"/>
      <c r="I19" s="3"/>
    </row>
    <row r="20" customFormat="false" ht="15.75" hidden="false" customHeight="true" outlineLevel="0" collapsed="false">
      <c r="A20" s="3" t="s">
        <v>31</v>
      </c>
      <c r="B20" s="3" t="n">
        <f aca="false">AVERAGE(1.7,2,3.4)*1000</f>
        <v>2366.666667</v>
      </c>
      <c r="C20" s="3" t="n">
        <f aca="false">AVERAGE(0.2,0.3,0.5)*1000</f>
        <v>333.3333333</v>
      </c>
      <c r="D20" s="4"/>
      <c r="E20" s="4"/>
      <c r="F20" s="4"/>
      <c r="G20" s="3" t="n">
        <v>0</v>
      </c>
      <c r="H20" s="3"/>
      <c r="I20" s="3"/>
    </row>
    <row r="21" customFormat="false" ht="15.75" hidden="false" customHeight="true" outlineLevel="0" collapsed="false">
      <c r="A21" s="3" t="s">
        <v>32</v>
      </c>
      <c r="B21" s="3" t="n">
        <v>51785</v>
      </c>
      <c r="C21" s="3" t="n">
        <v>5554</v>
      </c>
      <c r="D21" s="5" t="s">
        <v>33</v>
      </c>
      <c r="E21" s="3" t="s">
        <v>34</v>
      </c>
      <c r="F21" s="3" t="s">
        <v>35</v>
      </c>
      <c r="G21" s="3" t="n">
        <v>0</v>
      </c>
      <c r="H21" s="3"/>
      <c r="I21" s="3"/>
    </row>
    <row r="22" customFormat="false" ht="15.75" hidden="false" customHeight="true" outlineLevel="0" collapsed="false">
      <c r="A22" s="3" t="s">
        <v>36</v>
      </c>
      <c r="B22" s="3" t="n">
        <f aca="false">237.9*1000/1.95</f>
        <v>122000</v>
      </c>
      <c r="C22" s="3" t="n">
        <f aca="false">14.2*1000/1.95</f>
        <v>7282.051282</v>
      </c>
      <c r="D22" s="4" t="s">
        <v>37</v>
      </c>
      <c r="E22" s="4" t="s">
        <v>38</v>
      </c>
      <c r="F22" s="4" t="s">
        <v>39</v>
      </c>
      <c r="G22" s="3" t="n">
        <v>0</v>
      </c>
      <c r="H22" s="3"/>
      <c r="I22" s="3"/>
    </row>
    <row r="23" customFormat="false" ht="15.75" hidden="false" customHeight="true" outlineLevel="0" collapsed="false">
      <c r="A23" s="3" t="s">
        <v>40</v>
      </c>
      <c r="B23" s="3" t="n">
        <f aca="false">11.8*1000/1.41</f>
        <v>8368.794326</v>
      </c>
      <c r="C23" s="3" t="n">
        <f aca="false">0.8*1000/1.41</f>
        <v>567.3758865</v>
      </c>
      <c r="D23" s="4"/>
      <c r="E23" s="4"/>
      <c r="F23" s="4"/>
      <c r="G23" s="3" t="n">
        <v>0</v>
      </c>
      <c r="H23" s="3"/>
      <c r="I23" s="3"/>
    </row>
    <row r="24" customFormat="false" ht="15.75" hidden="false" customHeight="true" outlineLevel="0" collapsed="false">
      <c r="A24" s="3" t="s">
        <v>41</v>
      </c>
      <c r="B24" s="3" t="n">
        <f aca="false">88.1*1000/0.45</f>
        <v>195777.7778</v>
      </c>
      <c r="C24" s="3" t="n">
        <f aca="false">4.6*1000/0.45</f>
        <v>10222.22222</v>
      </c>
      <c r="D24" s="4"/>
      <c r="E24" s="4"/>
      <c r="F24" s="4"/>
      <c r="G24" s="3" t="n">
        <v>0</v>
      </c>
      <c r="H24" s="3"/>
      <c r="I24" s="3"/>
    </row>
    <row r="25" customFormat="false" ht="15.75" hidden="false" customHeight="true" outlineLevel="0" collapsed="false">
      <c r="A25" s="3" t="s">
        <v>42</v>
      </c>
      <c r="B25" s="3" t="n">
        <f aca="false">25.4*1000/0.32</f>
        <v>79375</v>
      </c>
      <c r="C25" s="3" t="n">
        <f aca="false">4.8*1000/0.32</f>
        <v>15000</v>
      </c>
      <c r="D25" s="4"/>
      <c r="E25" s="4"/>
      <c r="F25" s="4"/>
      <c r="G25" s="3" t="n">
        <v>0</v>
      </c>
      <c r="H25" s="3"/>
      <c r="I25" s="3"/>
    </row>
    <row r="26" customFormat="false" ht="15.75" hidden="false" customHeight="true" outlineLevel="0" collapsed="false">
      <c r="A26" s="3" t="s">
        <v>43</v>
      </c>
      <c r="B26" s="3" t="n">
        <f aca="false">276.2*1000/2.16</f>
        <v>127870.3704</v>
      </c>
      <c r="C26" s="3" t="n">
        <f aca="false">32.8*1000/2.16</f>
        <v>15185.18519</v>
      </c>
      <c r="D26" s="4"/>
      <c r="E26" s="4"/>
      <c r="F26" s="4"/>
      <c r="G26" s="3" t="n">
        <v>0</v>
      </c>
      <c r="H26" s="3"/>
      <c r="I26" s="3"/>
    </row>
    <row r="27" customFormat="false" ht="15.75" hidden="false" customHeight="true" outlineLevel="0" collapsed="false">
      <c r="A27" s="3" t="s">
        <v>44</v>
      </c>
      <c r="B27" s="3" t="n">
        <f aca="false">654.1*1000/7.53</f>
        <v>86865.86985</v>
      </c>
      <c r="C27" s="3" t="n">
        <f aca="false">50.7*1000/7.53</f>
        <v>6733.067729</v>
      </c>
      <c r="D27" s="4"/>
      <c r="E27" s="4"/>
      <c r="F27" s="4"/>
      <c r="G27" s="3" t="n">
        <v>0</v>
      </c>
      <c r="H27" s="3"/>
      <c r="I27" s="3"/>
    </row>
    <row r="28" customFormat="false" ht="15.75" hidden="false" customHeight="true" outlineLevel="0" collapsed="false">
      <c r="A28" s="3" t="s">
        <v>45</v>
      </c>
      <c r="B28" s="3" t="n">
        <f aca="false">40*434.4</f>
        <v>17376</v>
      </c>
      <c r="C28" s="3" t="n">
        <f aca="false">40*49.9</f>
        <v>1996</v>
      </c>
      <c r="D28" s="4" t="s">
        <v>46</v>
      </c>
      <c r="E28" s="4" t="s">
        <v>47</v>
      </c>
      <c r="F28" s="4" t="s">
        <v>48</v>
      </c>
      <c r="G28" s="3" t="n">
        <v>0</v>
      </c>
      <c r="H28" s="3"/>
      <c r="I28" s="3"/>
    </row>
    <row r="29" customFormat="false" ht="15.75" hidden="false" customHeight="true" outlineLevel="0" collapsed="false">
      <c r="A29" s="3" t="s">
        <v>49</v>
      </c>
      <c r="B29" s="3" t="n">
        <f aca="false">40*283.2</f>
        <v>11328</v>
      </c>
      <c r="C29" s="3" t="n">
        <f aca="false">40*41.2</f>
        <v>1648</v>
      </c>
      <c r="D29" s="4"/>
      <c r="E29" s="4"/>
      <c r="F29" s="4"/>
      <c r="G29" s="3" t="n">
        <v>0</v>
      </c>
      <c r="H29" s="3"/>
      <c r="I29" s="3"/>
    </row>
    <row r="30" customFormat="false" ht="15.75" hidden="false" customHeight="true" outlineLevel="0" collapsed="false">
      <c r="A30" s="3" t="s">
        <v>50</v>
      </c>
      <c r="B30" s="3" t="n">
        <f aca="false">40*581</f>
        <v>23240</v>
      </c>
      <c r="C30" s="3" t="n">
        <f aca="false">40*82.6</f>
        <v>3304</v>
      </c>
      <c r="D30" s="4"/>
      <c r="E30" s="4"/>
      <c r="F30" s="4"/>
      <c r="G30" s="3" t="n">
        <v>0</v>
      </c>
      <c r="H30" s="3"/>
      <c r="I30" s="3"/>
    </row>
    <row r="31" customFormat="false" ht="15.75" hidden="false" customHeight="true" outlineLevel="0" collapsed="false">
      <c r="A31" s="3" t="s">
        <v>51</v>
      </c>
      <c r="B31" s="3" t="n">
        <f aca="false">40*486.2</f>
        <v>19448</v>
      </c>
      <c r="C31" s="3" t="n">
        <f aca="false">40*74.4</f>
        <v>2976</v>
      </c>
      <c r="D31" s="4"/>
      <c r="E31" s="4"/>
      <c r="F31" s="4"/>
      <c r="G31" s="3" t="n">
        <v>0</v>
      </c>
      <c r="H31" s="3"/>
      <c r="I31" s="3"/>
    </row>
    <row r="32" customFormat="false" ht="15.75" hidden="false" customHeight="true" outlineLevel="0" collapsed="false">
      <c r="A32" s="3" t="s">
        <v>52</v>
      </c>
      <c r="B32" s="3" t="n">
        <f aca="false">40*407.2</f>
        <v>16288</v>
      </c>
      <c r="C32" s="3" t="n">
        <f aca="false">40*43.1</f>
        <v>1724</v>
      </c>
      <c r="D32" s="4"/>
      <c r="E32" s="4"/>
      <c r="F32" s="4"/>
      <c r="G32" s="3" t="n">
        <v>0</v>
      </c>
      <c r="H32" s="3"/>
      <c r="I32" s="3"/>
    </row>
    <row r="33" customFormat="false" ht="15.75" hidden="false" customHeight="true" outlineLevel="0" collapsed="false">
      <c r="A33" s="3" t="s">
        <v>53</v>
      </c>
      <c r="B33" s="3" t="n">
        <f aca="false">40*387.5</f>
        <v>15500</v>
      </c>
      <c r="C33" s="3" t="n">
        <f aca="false">40*56.5</f>
        <v>2260</v>
      </c>
      <c r="D33" s="4"/>
      <c r="E33" s="4"/>
      <c r="F33" s="4"/>
      <c r="G33" s="3" t="n">
        <v>0</v>
      </c>
      <c r="H33" s="3"/>
      <c r="I33" s="3"/>
    </row>
    <row r="34" customFormat="false" ht="15.75" hidden="false" customHeight="true" outlineLevel="0" collapsed="false">
      <c r="A34" s="3" t="s">
        <v>54</v>
      </c>
      <c r="B34" s="3" t="n">
        <f aca="false">40*387.5</f>
        <v>15500</v>
      </c>
      <c r="C34" s="3" t="n">
        <f aca="false">40*56.5</f>
        <v>2260</v>
      </c>
      <c r="D34" s="4"/>
      <c r="E34" s="4"/>
      <c r="F34" s="4"/>
      <c r="G34" s="3" t="n">
        <v>0</v>
      </c>
      <c r="H34" s="3"/>
      <c r="I34" s="3"/>
    </row>
    <row r="35" customFormat="false" ht="15.75" hidden="false" customHeight="true" outlineLevel="0" collapsed="false">
      <c r="A35" s="3" t="s">
        <v>55</v>
      </c>
      <c r="B35" s="3" t="n">
        <f aca="false">40*541.2</f>
        <v>21648</v>
      </c>
      <c r="C35" s="3" t="n">
        <f aca="false">40*88.1</f>
        <v>3524</v>
      </c>
      <c r="D35" s="4"/>
      <c r="E35" s="4"/>
      <c r="F35" s="4"/>
      <c r="G35" s="3" t="n">
        <v>0</v>
      </c>
      <c r="H35" s="3"/>
      <c r="I35" s="3"/>
    </row>
    <row r="36" customFormat="false" ht="15.75" hidden="false" customHeight="true" outlineLevel="0" collapsed="false">
      <c r="A36" s="3" t="s">
        <v>56</v>
      </c>
      <c r="B36" s="3" t="n">
        <f aca="false">40*468.8</f>
        <v>18752</v>
      </c>
      <c r="C36" s="3" t="n">
        <f aca="false">40*61.4</f>
        <v>2456</v>
      </c>
      <c r="D36" s="4"/>
      <c r="E36" s="4"/>
      <c r="F36" s="4"/>
      <c r="G36" s="3" t="n">
        <v>0</v>
      </c>
      <c r="H36" s="3"/>
      <c r="I36" s="3"/>
    </row>
    <row r="37" customFormat="false" ht="15.75" hidden="false" customHeight="true" outlineLevel="0" collapsed="false">
      <c r="A37" s="3" t="s">
        <v>57</v>
      </c>
      <c r="B37" s="3" t="n">
        <f aca="false">40*674.3</f>
        <v>26972</v>
      </c>
      <c r="C37" s="3" t="n">
        <f aca="false">40*111.9</f>
        <v>4476</v>
      </c>
      <c r="D37" s="4"/>
      <c r="E37" s="4"/>
      <c r="F37" s="4"/>
      <c r="G37" s="3" t="n">
        <v>0</v>
      </c>
      <c r="H37" s="3"/>
      <c r="I37" s="3"/>
    </row>
    <row r="38" customFormat="false" ht="15.75" hidden="false" customHeight="true" outlineLevel="0" collapsed="false">
      <c r="A38" s="3" t="s">
        <v>58</v>
      </c>
      <c r="B38" s="3" t="n">
        <f aca="false">40*680.8</f>
        <v>27232</v>
      </c>
      <c r="C38" s="3" t="n">
        <f aca="false">40*143.5</f>
        <v>5740</v>
      </c>
      <c r="D38" s="4"/>
      <c r="E38" s="4"/>
      <c r="F38" s="4"/>
      <c r="G38" s="3" t="n">
        <v>0</v>
      </c>
      <c r="H38" s="3"/>
      <c r="I38" s="3"/>
    </row>
    <row r="39" customFormat="false" ht="15.75" hidden="false" customHeight="true" outlineLevel="0" collapsed="false">
      <c r="A39" s="3" t="s">
        <v>59</v>
      </c>
      <c r="B39" s="3" t="n">
        <f aca="false">40*607.9</f>
        <v>24316</v>
      </c>
      <c r="C39" s="3" t="n">
        <f aca="false">40*109.6</f>
        <v>4384</v>
      </c>
      <c r="D39" s="4"/>
      <c r="E39" s="4"/>
      <c r="F39" s="4"/>
      <c r="G39" s="3" t="n">
        <v>0</v>
      </c>
      <c r="H39" s="3"/>
      <c r="I39" s="3"/>
    </row>
    <row r="40" customFormat="false" ht="15.75" hidden="false" customHeight="true" outlineLevel="0" collapsed="false">
      <c r="A40" s="3" t="s">
        <v>60</v>
      </c>
      <c r="B40" s="3" t="n">
        <f aca="false">40*355.1</f>
        <v>14204</v>
      </c>
      <c r="C40" s="3" t="n">
        <f aca="false">40*76.8</f>
        <v>3072</v>
      </c>
      <c r="D40" s="4"/>
      <c r="E40" s="4"/>
      <c r="F40" s="4"/>
      <c r="G40" s="3" t="n">
        <v>0</v>
      </c>
      <c r="H40" s="3"/>
      <c r="I40" s="3"/>
    </row>
    <row r="41" customFormat="false" ht="15.75" hidden="false" customHeight="true" outlineLevel="0" collapsed="false">
      <c r="A41" s="3" t="s">
        <v>61</v>
      </c>
      <c r="B41" s="3" t="n">
        <f aca="false">40*355.1</f>
        <v>14204</v>
      </c>
      <c r="C41" s="3" t="n">
        <f aca="false">40*76.8</f>
        <v>3072</v>
      </c>
      <c r="D41" s="4"/>
      <c r="E41" s="4"/>
      <c r="F41" s="4"/>
      <c r="G41" s="3" t="n">
        <v>0</v>
      </c>
      <c r="H41" s="3"/>
      <c r="I41" s="3"/>
    </row>
    <row r="42" customFormat="false" ht="15.75" hidden="false" customHeight="true" outlineLevel="0" collapsed="false">
      <c r="A42" s="3" t="s">
        <v>32</v>
      </c>
      <c r="B42" s="3" t="n">
        <f aca="false">40*646</f>
        <v>25840</v>
      </c>
      <c r="C42" s="3" t="n">
        <f aca="false">40*23.5</f>
        <v>940</v>
      </c>
      <c r="D42" s="4"/>
      <c r="E42" s="4"/>
      <c r="F42" s="4"/>
      <c r="G42" s="3" t="n">
        <v>0</v>
      </c>
      <c r="H42" s="3"/>
      <c r="I42" s="3"/>
    </row>
    <row r="43" customFormat="false" ht="15.75" hidden="false" customHeight="true" outlineLevel="0" collapsed="false">
      <c r="A43" s="3" t="s">
        <v>62</v>
      </c>
      <c r="B43" s="3" t="n">
        <f aca="false">40*486.3</f>
        <v>19452</v>
      </c>
      <c r="C43" s="3" t="n">
        <f aca="false">40*46.7</f>
        <v>1868</v>
      </c>
      <c r="D43" s="4"/>
      <c r="E43" s="4"/>
      <c r="F43" s="4"/>
      <c r="G43" s="3" t="n">
        <v>0</v>
      </c>
      <c r="H43" s="3"/>
      <c r="I43" s="3"/>
    </row>
    <row r="44" customFormat="false" ht="15.75" hidden="false" customHeight="true" outlineLevel="0" collapsed="false">
      <c r="A44" s="3" t="s">
        <v>63</v>
      </c>
      <c r="B44" s="3" t="n">
        <f aca="false">40*677.9</f>
        <v>27116</v>
      </c>
      <c r="C44" s="3" t="n">
        <f aca="false">40*78.1</f>
        <v>3124</v>
      </c>
      <c r="D44" s="4"/>
      <c r="E44" s="4"/>
      <c r="F44" s="4"/>
      <c r="G44" s="3" t="n">
        <v>0</v>
      </c>
      <c r="H44" s="3"/>
      <c r="I44" s="3"/>
    </row>
    <row r="45" customFormat="false" ht="15.75" hidden="false" customHeight="true" outlineLevel="0" collapsed="false">
      <c r="A45" s="3" t="s">
        <v>64</v>
      </c>
      <c r="B45" s="3" t="n">
        <f aca="false">40*805.1</f>
        <v>32204</v>
      </c>
      <c r="C45" s="3" t="n">
        <f aca="false">40*63.1</f>
        <v>2524</v>
      </c>
      <c r="D45" s="4"/>
      <c r="E45" s="4"/>
      <c r="F45" s="4"/>
      <c r="G45" s="3" t="n">
        <v>0</v>
      </c>
      <c r="H45" s="3"/>
      <c r="I45" s="3"/>
    </row>
    <row r="46" customFormat="false" ht="15.75" hidden="false" customHeight="true" outlineLevel="0" collapsed="false">
      <c r="A46" s="3" t="s">
        <v>65</v>
      </c>
      <c r="B46" s="3" t="n">
        <f aca="false">40*735</f>
        <v>29400</v>
      </c>
      <c r="C46" s="3" t="n">
        <f aca="false">40*41.8</f>
        <v>1672</v>
      </c>
      <c r="D46" s="4"/>
      <c r="E46" s="4"/>
      <c r="F46" s="4"/>
      <c r="G46" s="3" t="n">
        <v>0</v>
      </c>
      <c r="H46" s="3"/>
      <c r="I46" s="3"/>
    </row>
    <row r="47" customFormat="false" ht="15.75" hidden="false" customHeight="true" outlineLevel="0" collapsed="false">
      <c r="A47" s="3" t="s">
        <v>66</v>
      </c>
      <c r="B47" s="3" t="n">
        <f aca="false">40*475</f>
        <v>19000</v>
      </c>
      <c r="C47" s="3" t="n">
        <f aca="false">40*60</f>
        <v>2400</v>
      </c>
      <c r="D47" s="4"/>
      <c r="E47" s="4"/>
      <c r="F47" s="4"/>
      <c r="G47" s="3" t="n">
        <v>0</v>
      </c>
      <c r="H47" s="3"/>
      <c r="I47" s="3"/>
    </row>
    <row r="48" customFormat="false" ht="15.75" hidden="false" customHeight="true" outlineLevel="0" collapsed="false">
      <c r="A48" s="3" t="s">
        <v>67</v>
      </c>
      <c r="B48" s="3" t="n">
        <f aca="false">40*475</f>
        <v>19000</v>
      </c>
      <c r="C48" s="3" t="n">
        <f aca="false">40*60</f>
        <v>2400</v>
      </c>
      <c r="D48" s="4"/>
      <c r="E48" s="4"/>
      <c r="F48" s="4"/>
      <c r="G48" s="3" t="n">
        <v>0</v>
      </c>
      <c r="H48" s="3"/>
      <c r="I48" s="3"/>
    </row>
    <row r="49" customFormat="false" ht="15.75" hidden="false" customHeight="true" outlineLevel="0" collapsed="false">
      <c r="A49" s="3" t="s">
        <v>68</v>
      </c>
      <c r="B49" s="3" t="n">
        <f aca="false">291/1496*H49</f>
        <v>12751.7989</v>
      </c>
      <c r="C49" s="3"/>
      <c r="D49" s="5" t="s">
        <v>69</v>
      </c>
      <c r="E49" s="5" t="s">
        <v>70</v>
      </c>
      <c r="F49" s="5" t="s">
        <v>71</v>
      </c>
      <c r="G49" s="3" t="n">
        <v>1</v>
      </c>
      <c r="H49" s="3" t="n">
        <f aca="false">1471357/22.4444</f>
        <v>65555.63971</v>
      </c>
      <c r="I49" s="3"/>
    </row>
    <row r="50" customFormat="false" ht="15.75" hidden="false" customHeight="true" outlineLevel="0" collapsed="false">
      <c r="A50" s="3" t="s">
        <v>32</v>
      </c>
      <c r="B50" s="3" t="n">
        <f aca="false">10.3/100*H50</f>
        <v>19393.3242</v>
      </c>
      <c r="C50" s="3"/>
      <c r="D50" s="4" t="s">
        <v>72</v>
      </c>
      <c r="E50" s="4" t="s">
        <v>73</v>
      </c>
      <c r="F50" s="4" t="s">
        <v>74</v>
      </c>
      <c r="G50" s="3" t="n">
        <v>2</v>
      </c>
      <c r="H50" s="3" t="n">
        <f aca="false">1189225/6.3161</f>
        <v>188284.701</v>
      </c>
      <c r="I50" s="3"/>
    </row>
    <row r="51" customFormat="false" ht="15.75" hidden="false" customHeight="true" outlineLevel="0" collapsed="false">
      <c r="A51" s="3" t="s">
        <v>45</v>
      </c>
      <c r="B51" s="3" t="n">
        <f aca="false">10.9/100*H51</f>
        <v>24284.91945</v>
      </c>
      <c r="C51" s="3"/>
      <c r="D51" s="4"/>
      <c r="E51" s="4"/>
      <c r="F51" s="4"/>
      <c r="G51" s="3" t="n">
        <v>2</v>
      </c>
      <c r="H51" s="3" t="n">
        <f aca="false">359233 /1.612375</f>
        <v>222797.4262</v>
      </c>
      <c r="I51" s="3"/>
    </row>
    <row r="52" customFormat="false" ht="15.75" hidden="false" customHeight="true" outlineLevel="0" collapsed="false">
      <c r="A52" s="3" t="s">
        <v>28</v>
      </c>
      <c r="B52" s="3" t="n">
        <v>1497.62472015037</v>
      </c>
      <c r="C52" s="3"/>
      <c r="D52" s="4" t="s">
        <v>75</v>
      </c>
      <c r="E52" s="4" t="s">
        <v>76</v>
      </c>
      <c r="F52" s="4" t="s">
        <v>77</v>
      </c>
      <c r="G52" s="3" t="n">
        <v>0</v>
      </c>
      <c r="H52" s="3"/>
      <c r="I52" s="3"/>
    </row>
    <row r="53" customFormat="false" ht="15.75" hidden="false" customHeight="true" outlineLevel="0" collapsed="false">
      <c r="A53" s="3" t="s">
        <v>27</v>
      </c>
      <c r="B53" s="3" t="n">
        <v>2130.04417733188</v>
      </c>
      <c r="C53" s="3"/>
      <c r="D53" s="4"/>
      <c r="E53" s="4"/>
      <c r="F53" s="4"/>
      <c r="G53" s="3" t="n">
        <v>0</v>
      </c>
      <c r="H53" s="3"/>
      <c r="I53" s="3"/>
    </row>
    <row r="54" customFormat="false" ht="15.75" hidden="false" customHeight="true" outlineLevel="0" collapsed="false">
      <c r="A54" s="3" t="s">
        <v>15</v>
      </c>
      <c r="B54" s="3" t="n">
        <v>2318.90765860141</v>
      </c>
      <c r="C54" s="3"/>
      <c r="D54" s="4"/>
      <c r="E54" s="4"/>
      <c r="F54" s="4"/>
      <c r="G54" s="3" t="n">
        <v>0</v>
      </c>
      <c r="H54" s="3"/>
      <c r="I54" s="3"/>
    </row>
    <row r="55" customFormat="false" ht="15.75" hidden="false" customHeight="true" outlineLevel="0" collapsed="false">
      <c r="A55" s="3" t="s">
        <v>78</v>
      </c>
      <c r="B55" s="3" t="n">
        <v>2805.76580028015</v>
      </c>
      <c r="C55" s="3"/>
      <c r="D55" s="4"/>
      <c r="E55" s="4"/>
      <c r="F55" s="4"/>
      <c r="G55" s="3" t="n">
        <v>0</v>
      </c>
      <c r="H55" s="3"/>
      <c r="I55" s="3"/>
    </row>
    <row r="56" customFormat="false" ht="15.75" hidden="false" customHeight="true" outlineLevel="0" collapsed="false">
      <c r="A56" s="3" t="s">
        <v>79</v>
      </c>
      <c r="B56" s="3" t="n">
        <f aca="false">3580*100</f>
        <v>358000</v>
      </c>
      <c r="C56" s="3" t="n">
        <f aca="false">150*100*SQRT(10)</f>
        <v>47434.1649</v>
      </c>
      <c r="D56" s="4" t="s">
        <v>80</v>
      </c>
      <c r="E56" s="6" t="s">
        <v>81</v>
      </c>
      <c r="F56" s="6" t="s">
        <v>82</v>
      </c>
      <c r="G56" s="3" t="n">
        <v>0</v>
      </c>
      <c r="H56" s="3"/>
      <c r="I56" s="3"/>
    </row>
    <row r="57" customFormat="false" ht="15.75" hidden="false" customHeight="true" outlineLevel="0" collapsed="false">
      <c r="A57" s="3" t="s">
        <v>45</v>
      </c>
      <c r="B57" s="3" t="n">
        <f aca="false">307*100</f>
        <v>30700</v>
      </c>
      <c r="C57" s="3" t="n">
        <f aca="false">19*100*SQRT(10)</f>
        <v>6008.327554</v>
      </c>
      <c r="D57" s="4"/>
      <c r="E57" s="4"/>
      <c r="F57" s="4"/>
      <c r="G57" s="3" t="n">
        <v>0</v>
      </c>
      <c r="H57" s="3"/>
      <c r="I57" s="3"/>
    </row>
    <row r="58" customFormat="false" ht="15.75" hidden="false" customHeight="true" outlineLevel="0" collapsed="false">
      <c r="A58" s="3" t="s">
        <v>83</v>
      </c>
      <c r="B58" s="3" t="n">
        <f aca="false">398*100</f>
        <v>39800</v>
      </c>
      <c r="C58" s="3" t="n">
        <f aca="false">12*100*SQRT(10)</f>
        <v>3794.73319220206</v>
      </c>
      <c r="D58" s="4"/>
      <c r="E58" s="4"/>
      <c r="F58" s="4"/>
      <c r="G58" s="3" t="n">
        <v>0</v>
      </c>
      <c r="H58" s="3"/>
      <c r="I58" s="3"/>
    </row>
    <row r="59" customFormat="false" ht="15.75" hidden="false" customHeight="true" outlineLevel="0" collapsed="false">
      <c r="A59" s="3" t="s">
        <v>84</v>
      </c>
      <c r="B59" s="3" t="n">
        <f aca="false">398*100</f>
        <v>39800</v>
      </c>
      <c r="C59" s="3" t="n">
        <f aca="false">12*100*SQRT(10)</f>
        <v>3794.73319220206</v>
      </c>
      <c r="D59" s="4"/>
      <c r="E59" s="4"/>
      <c r="F59" s="4"/>
      <c r="G59" s="3" t="n">
        <v>0</v>
      </c>
      <c r="H59" s="3"/>
      <c r="I59" s="3"/>
    </row>
    <row r="60" customFormat="false" ht="15.75" hidden="false" customHeight="true" outlineLevel="0" collapsed="false">
      <c r="A60" s="3" t="s">
        <v>85</v>
      </c>
      <c r="B60" s="3" t="n">
        <f aca="false">216*100</f>
        <v>21600</v>
      </c>
      <c r="C60" s="3" t="n">
        <f aca="false">25*100*SQRT(10)</f>
        <v>7905.69415</v>
      </c>
      <c r="D60" s="4"/>
      <c r="E60" s="4"/>
      <c r="F60" s="4"/>
      <c r="G60" s="3" t="n">
        <v>0</v>
      </c>
      <c r="H60" s="3"/>
      <c r="I60" s="3"/>
    </row>
    <row r="61" customFormat="false" ht="15.75" hidden="false" customHeight="true" outlineLevel="0" collapsed="false">
      <c r="A61" s="3" t="s">
        <v>86</v>
      </c>
      <c r="B61" s="3" t="n">
        <f aca="false">551*100</f>
        <v>55100</v>
      </c>
      <c r="C61" s="3" t="n">
        <f aca="false">55*100*SQRT(10)</f>
        <v>17392.52713</v>
      </c>
      <c r="D61" s="4"/>
      <c r="E61" s="4"/>
      <c r="F61" s="4"/>
      <c r="G61" s="3" t="n">
        <v>0</v>
      </c>
      <c r="H61" s="3"/>
      <c r="I61" s="3"/>
    </row>
    <row r="62" customFormat="false" ht="15.75" hidden="false" customHeight="true" outlineLevel="0" collapsed="false">
      <c r="A62" s="3" t="s">
        <v>87</v>
      </c>
      <c r="B62" s="3" t="n">
        <f aca="false">249*100</f>
        <v>24900</v>
      </c>
      <c r="C62" s="3" t="n">
        <f aca="false">15*100*SQRT(10)</f>
        <v>4743.41649</v>
      </c>
      <c r="D62" s="4"/>
      <c r="E62" s="4"/>
      <c r="F62" s="4"/>
      <c r="G62" s="3" t="n">
        <v>0</v>
      </c>
      <c r="H62" s="3"/>
      <c r="I62" s="3"/>
    </row>
    <row r="63" customFormat="false" ht="15.75" hidden="false" customHeight="true" outlineLevel="0" collapsed="false">
      <c r="A63" s="3" t="s">
        <v>88</v>
      </c>
      <c r="B63" s="3" t="n">
        <f aca="false">(B61*28.15840625 +B62*22.913)/51.07140625</f>
        <v>41550.8802320281</v>
      </c>
      <c r="C63" s="3" t="n">
        <f aca="false">(C61*28.15840625 +C62*22.913)/51.07140625</f>
        <v>11717.5498114673</v>
      </c>
      <c r="D63" s="3" t="s">
        <v>89</v>
      </c>
      <c r="E63" s="6"/>
      <c r="F63" s="6"/>
      <c r="G63" s="3" t="n">
        <v>-2</v>
      </c>
      <c r="H63" s="3"/>
      <c r="I63" s="3"/>
    </row>
    <row r="64" customFormat="false" ht="15.75" hidden="false" customHeight="true" outlineLevel="0" collapsed="false">
      <c r="A64" s="3" t="s">
        <v>90</v>
      </c>
      <c r="B64" s="3" t="n">
        <f aca="false">13/100*H64</f>
        <v>14637.4034</v>
      </c>
      <c r="C64" s="3" t="n">
        <f aca="false">0.8/100*H64</f>
        <v>900.7632862</v>
      </c>
      <c r="D64" s="4" t="s">
        <v>91</v>
      </c>
      <c r="E64" s="4" t="s">
        <v>92</v>
      </c>
      <c r="F64" s="4" t="s">
        <v>93</v>
      </c>
      <c r="G64" s="3" t="n">
        <v>1</v>
      </c>
      <c r="H64" s="3" t="n">
        <f aca="false">118380/1.051375</f>
        <v>112595.4108</v>
      </c>
      <c r="I64" s="3"/>
    </row>
    <row r="65" customFormat="false" ht="15.75" hidden="false" customHeight="true" outlineLevel="0" collapsed="false">
      <c r="A65" s="3" t="s">
        <v>94</v>
      </c>
      <c r="B65" s="3" t="n">
        <f aca="false">20.2/100*H65</f>
        <v>23657.43385</v>
      </c>
      <c r="C65" s="3" t="n">
        <f aca="false">1.3/100*H65</f>
        <v>1522.508119</v>
      </c>
      <c r="D65" s="4"/>
      <c r="E65" s="4"/>
      <c r="F65" s="4"/>
      <c r="G65" s="3" t="n">
        <v>1</v>
      </c>
      <c r="H65" s="3" t="n">
        <f aca="false">118558/1.0123125</f>
        <v>117116.0091</v>
      </c>
      <c r="I65" s="3"/>
    </row>
    <row r="66" customFormat="false" ht="15.75" hidden="false" customHeight="true" outlineLevel="0" collapsed="false">
      <c r="A66" s="3" t="s">
        <v>95</v>
      </c>
      <c r="B66" s="3" t="n">
        <f aca="false">13.421*1000</f>
        <v>13421</v>
      </c>
      <c r="C66" s="3" t="n">
        <f aca="false">2.5986*1000</f>
        <v>2598.6</v>
      </c>
      <c r="D66" s="4" t="s">
        <v>96</v>
      </c>
      <c r="E66" s="4" t="s">
        <v>97</v>
      </c>
      <c r="F66" s="4" t="s">
        <v>98</v>
      </c>
      <c r="G66" s="3" t="n">
        <v>0</v>
      </c>
      <c r="H66" s="3"/>
      <c r="I66" s="3"/>
    </row>
    <row r="67" customFormat="false" ht="15.75" hidden="false" customHeight="true" outlineLevel="0" collapsed="false">
      <c r="A67" s="3" t="s">
        <v>68</v>
      </c>
      <c r="B67" s="3" t="n">
        <f aca="false">13.75*1000</f>
        <v>13750</v>
      </c>
      <c r="C67" s="3" t="n">
        <f aca="false">2.4013*1000</f>
        <v>2401.3</v>
      </c>
      <c r="D67" s="4"/>
      <c r="E67" s="4"/>
      <c r="F67" s="4"/>
      <c r="G67" s="3" t="n">
        <v>0</v>
      </c>
      <c r="H67" s="3"/>
      <c r="I67" s="3"/>
    </row>
    <row r="68" customFormat="false" ht="15.75" hidden="false" customHeight="true" outlineLevel="0" collapsed="false">
      <c r="A68" s="3" t="s">
        <v>99</v>
      </c>
      <c r="B68" s="3" t="n">
        <f aca="false">28*$D$69</f>
        <v>35128.65871</v>
      </c>
      <c r="C68" s="3" t="n">
        <f aca="false">3*$D$69</f>
        <v>3763.784862</v>
      </c>
      <c r="D68" s="3" t="s">
        <v>100</v>
      </c>
      <c r="E68" s="6" t="s">
        <v>101</v>
      </c>
      <c r="F68" s="6" t="s">
        <v>102</v>
      </c>
      <c r="G68" s="3" t="n">
        <v>0</v>
      </c>
      <c r="H68" s="3"/>
      <c r="I68" s="3"/>
    </row>
    <row r="69" customFormat="false" ht="15.75" hidden="false" customHeight="true" outlineLevel="0" collapsed="false">
      <c r="A69" s="3" t="s">
        <v>103</v>
      </c>
      <c r="B69" s="3" t="n">
        <f aca="false">36*$D$69</f>
        <v>45165.41834</v>
      </c>
      <c r="C69" s="3" t="n">
        <f aca="false">2*$D$69</f>
        <v>2509.189908</v>
      </c>
      <c r="D69" s="3" t="n">
        <f aca="false">(1000/163)*(1000/163)*(1000/30)</f>
        <v>1254.594954</v>
      </c>
      <c r="E69" s="6"/>
      <c r="F69" s="6"/>
      <c r="G69" s="3" t="n">
        <v>0</v>
      </c>
      <c r="H69" s="3"/>
      <c r="I69" s="3"/>
    </row>
    <row r="70" customFormat="false" ht="15.75" hidden="false" customHeight="true" outlineLevel="0" collapsed="false">
      <c r="A70" s="3" t="s">
        <v>104</v>
      </c>
      <c r="B70" s="3" t="n">
        <f aca="false">((40+26)/2+28)*$D$69/2</f>
        <v>38265.1461</v>
      </c>
      <c r="C70" s="3" t="n">
        <f aca="false">((2+1)/2+2)*$D$69/2</f>
        <v>2195.54117</v>
      </c>
      <c r="D70" s="4" t="s">
        <v>105</v>
      </c>
      <c r="E70" s="6"/>
      <c r="F70" s="6"/>
      <c r="G70" s="3" t="n">
        <v>0</v>
      </c>
      <c r="H70" s="3"/>
      <c r="I70" s="3"/>
    </row>
    <row r="71" customFormat="false" ht="15.75" hidden="false" customHeight="true" outlineLevel="0" collapsed="false">
      <c r="A71" s="3" t="s">
        <v>106</v>
      </c>
      <c r="B71" s="3" t="n">
        <f aca="false">(20+22)*$D$69/2</f>
        <v>26346.49403</v>
      </c>
      <c r="C71" s="3" t="n">
        <f aca="false">(2+2)*$D$69/2</f>
        <v>2509.189908</v>
      </c>
      <c r="D71" s="4"/>
      <c r="E71" s="4"/>
      <c r="F71" s="4"/>
      <c r="G71" s="3" t="n">
        <v>0</v>
      </c>
      <c r="H71" s="3"/>
      <c r="I71" s="3"/>
    </row>
    <row r="72" customFormat="false" ht="15.75" hidden="false" customHeight="true" outlineLevel="0" collapsed="false">
      <c r="A72" s="3" t="s">
        <v>107</v>
      </c>
      <c r="B72" s="3" t="n">
        <f aca="false">43*$D$69</f>
        <v>53947.58302</v>
      </c>
      <c r="C72" s="3" t="n">
        <f aca="false">1*$D$69</f>
        <v>1254.594954</v>
      </c>
      <c r="D72" s="4"/>
      <c r="E72" s="4"/>
      <c r="F72" s="4"/>
      <c r="G72" s="3" t="n">
        <v>0</v>
      </c>
      <c r="H72" s="3"/>
      <c r="I72" s="3"/>
    </row>
    <row r="73" customFormat="false" ht="15.75" hidden="false" customHeight="true" outlineLevel="0" collapsed="false">
      <c r="A73" s="3" t="s">
        <v>108</v>
      </c>
      <c r="B73" s="3" t="n">
        <f aca="false">(1+2)/2/(2500*70)*1000000000</f>
        <v>8571.428571</v>
      </c>
      <c r="C73" s="3" t="n">
        <f aca="false">1/2/(2500*70)*1000000000</f>
        <v>2857.142857</v>
      </c>
      <c r="D73" s="3" t="s">
        <v>109</v>
      </c>
      <c r="E73" s="3" t="s">
        <v>110</v>
      </c>
      <c r="F73" s="3" t="s">
        <v>111</v>
      </c>
      <c r="G73" s="3" t="n">
        <v>0</v>
      </c>
      <c r="H73" s="3"/>
      <c r="I73" s="3"/>
    </row>
    <row r="74" customFormat="false" ht="15.75" hidden="false" customHeight="true" outlineLevel="0" collapsed="false">
      <c r="A74" s="3" t="s">
        <v>112</v>
      </c>
      <c r="B74" s="3" t="n">
        <v>0</v>
      </c>
      <c r="C74" s="3" t="n">
        <v>0</v>
      </c>
      <c r="D74" s="7" t="s">
        <v>113</v>
      </c>
      <c r="E74" s="7" t="s">
        <v>114</v>
      </c>
      <c r="F74" s="7" t="s">
        <v>115</v>
      </c>
      <c r="G74" s="8" t="n">
        <v>0</v>
      </c>
      <c r="H74" s="8"/>
      <c r="I74" s="3"/>
    </row>
    <row r="75" customFormat="false" ht="15.75" hidden="false" customHeight="true" outlineLevel="0" collapsed="false">
      <c r="A75" s="3" t="s">
        <v>116</v>
      </c>
      <c r="B75" s="3" t="n">
        <f aca="false">3.6 /10000/50*1000000000</f>
        <v>7200</v>
      </c>
      <c r="C75" s="3"/>
      <c r="D75" s="4" t="s">
        <v>117</v>
      </c>
      <c r="E75" s="4" t="s">
        <v>118</v>
      </c>
      <c r="F75" s="4" t="s">
        <v>119</v>
      </c>
      <c r="G75" s="3" t="n">
        <v>0</v>
      </c>
      <c r="H75" s="3"/>
      <c r="I75" s="3"/>
    </row>
    <row r="76" customFormat="false" ht="15.75" hidden="false" customHeight="true" outlineLevel="0" collapsed="false">
      <c r="A76" s="3" t="s">
        <v>120</v>
      </c>
      <c r="B76" s="3" t="n">
        <f aca="false">1.6/10000/50*1000000000</f>
        <v>3200</v>
      </c>
      <c r="C76" s="3"/>
      <c r="D76" s="4"/>
      <c r="E76" s="4"/>
      <c r="F76" s="4"/>
      <c r="G76" s="3" t="n">
        <v>0</v>
      </c>
      <c r="H76" s="3"/>
      <c r="I76" s="3"/>
    </row>
    <row r="77" customFormat="false" ht="15.75" hidden="false" customHeight="true" outlineLevel="0" collapsed="false">
      <c r="A77" s="3" t="s">
        <v>121</v>
      </c>
      <c r="B77" s="3" t="n">
        <f aca="false">2.4 /10000/50*1000000000</f>
        <v>4800</v>
      </c>
      <c r="C77" s="3"/>
      <c r="D77" s="4"/>
      <c r="E77" s="4"/>
      <c r="F77" s="4"/>
      <c r="G77" s="3" t="n">
        <v>0</v>
      </c>
      <c r="H77" s="3"/>
      <c r="I77" s="3"/>
    </row>
    <row r="78" customFormat="false" ht="15.75" hidden="false" customHeight="true" outlineLevel="0" collapsed="false">
      <c r="A78" s="3" t="s">
        <v>108</v>
      </c>
      <c r="B78" s="3" t="n">
        <f aca="false">0.15*H78</f>
        <v>8849.359084</v>
      </c>
      <c r="C78" s="3" t="n">
        <f aca="false">0.05*H78</f>
        <v>2949.786361</v>
      </c>
      <c r="D78" s="5" t="s">
        <v>122</v>
      </c>
      <c r="E78" s="3" t="s">
        <v>123</v>
      </c>
      <c r="F78" s="3"/>
      <c r="G78" s="3" t="n">
        <v>1</v>
      </c>
      <c r="H78" s="3" t="n">
        <f aca="false">43148/0.731375</f>
        <v>58995.72723</v>
      </c>
      <c r="I78" s="3"/>
    </row>
    <row r="79" customFormat="false" ht="15.75" hidden="false" customHeight="true" outlineLevel="0" collapsed="false">
      <c r="A79" s="3" t="s">
        <v>79</v>
      </c>
      <c r="B79" s="3" t="n">
        <f aca="false">99.3/100*H79</f>
        <v>56319.91991</v>
      </c>
      <c r="C79" s="3"/>
      <c r="D79" s="5" t="s">
        <v>124</v>
      </c>
      <c r="E79" s="3" t="s">
        <v>125</v>
      </c>
      <c r="F79" s="3" t="s">
        <v>74</v>
      </c>
      <c r="G79" s="3" t="n">
        <v>1</v>
      </c>
      <c r="H79" s="3" t="n">
        <f aca="false">2283112/40.2545</f>
        <v>56716.93848</v>
      </c>
      <c r="I79" s="3"/>
    </row>
    <row r="80" customFormat="false" ht="21.75" hidden="false" customHeight="true" outlineLevel="0" collapsed="false">
      <c r="A80" s="3" t="s">
        <v>126</v>
      </c>
      <c r="B80" s="3" t="n">
        <f aca="false">(16.3 +14.5) /H80</f>
        <v>30196.07843</v>
      </c>
      <c r="C80" s="3" t="n">
        <f aca="false">(2.6 +2) /H80</f>
        <v>4509.803922</v>
      </c>
      <c r="D80" s="4" t="s">
        <v>127</v>
      </c>
      <c r="E80" s="4" t="s">
        <v>128</v>
      </c>
      <c r="F80" s="4" t="s">
        <v>129</v>
      </c>
      <c r="G80" s="9" t="n">
        <v>3</v>
      </c>
      <c r="H80" s="3" t="n">
        <v>0.00102</v>
      </c>
      <c r="I80" s="3" t="s">
        <v>130</v>
      </c>
      <c r="J80" s="10"/>
      <c r="K80" s="10"/>
      <c r="L80" s="10"/>
      <c r="M80" s="10"/>
      <c r="N80" s="10"/>
      <c r="O80" s="10"/>
      <c r="P80" s="10"/>
      <c r="Q80" s="10"/>
      <c r="R80" s="10"/>
      <c r="S80" s="10"/>
      <c r="T80" s="10"/>
      <c r="U80" s="10"/>
      <c r="V80" s="11"/>
      <c r="W80" s="11"/>
      <c r="X80" s="11"/>
      <c r="Y80" s="11"/>
      <c r="Z80" s="11"/>
      <c r="AA80" s="11"/>
    </row>
    <row r="81" customFormat="false" ht="21.75" hidden="false" customHeight="true" outlineLevel="0" collapsed="false">
      <c r="A81" s="3" t="s">
        <v>131</v>
      </c>
      <c r="B81" s="3" t="n">
        <f aca="false">(25.4 + 22.6) / H81</f>
        <v>13737.83629</v>
      </c>
      <c r="C81" s="3" t="n">
        <f aca="false">(4 + 3.8) / H81</f>
        <v>2232.398397</v>
      </c>
      <c r="D81" s="4"/>
      <c r="E81" s="4"/>
      <c r="F81" s="4"/>
      <c r="G81" s="9" t="n">
        <v>3</v>
      </c>
      <c r="H81" s="3" t="n">
        <v>0.003494</v>
      </c>
      <c r="I81" s="10"/>
      <c r="J81" s="10"/>
      <c r="K81" s="10"/>
      <c r="L81" s="10"/>
      <c r="M81" s="10"/>
      <c r="N81" s="10"/>
      <c r="O81" s="10"/>
      <c r="P81" s="10"/>
      <c r="Q81" s="10"/>
      <c r="R81" s="10"/>
      <c r="S81" s="10"/>
      <c r="T81" s="10"/>
      <c r="U81" s="10"/>
      <c r="V81" s="11"/>
      <c r="W81" s="11"/>
      <c r="X81" s="11"/>
      <c r="Y81" s="11"/>
      <c r="Z81" s="11"/>
      <c r="AA81" s="11"/>
    </row>
    <row r="82" customFormat="false" ht="21.75" hidden="false" customHeight="true" outlineLevel="0" collapsed="false">
      <c r="A82" s="3" t="s">
        <v>132</v>
      </c>
      <c r="B82" s="3" t="n">
        <f aca="false">(18.9+22.6+25.4+22.6)/2 /H82</f>
        <v>4908.951294</v>
      </c>
      <c r="C82" s="3" t="n">
        <f aca="false">(3.9+5.9+4+3.8)/2 /H82</f>
        <v>965.3356735</v>
      </c>
      <c r="D82" s="4"/>
      <c r="E82" s="4"/>
      <c r="F82" s="4"/>
      <c r="G82" s="9" t="n">
        <v>3</v>
      </c>
      <c r="H82" s="3" t="n">
        <v>0.009116</v>
      </c>
      <c r="I82" s="10"/>
      <c r="J82" s="10"/>
      <c r="K82" s="10"/>
      <c r="L82" s="10"/>
      <c r="M82" s="10"/>
      <c r="N82" s="10"/>
      <c r="O82" s="10"/>
      <c r="P82" s="10"/>
      <c r="Q82" s="10"/>
      <c r="R82" s="10"/>
      <c r="S82" s="10"/>
      <c r="T82" s="10"/>
      <c r="U82" s="10"/>
      <c r="V82" s="11"/>
      <c r="W82" s="11"/>
      <c r="X82" s="11"/>
      <c r="Y82" s="11"/>
      <c r="Z82" s="11"/>
      <c r="AA82" s="11"/>
    </row>
    <row r="83" customFormat="false" ht="21.75" hidden="false" customHeight="true" outlineLevel="0" collapsed="false">
      <c r="A83" s="3" t="s">
        <v>133</v>
      </c>
      <c r="B83" s="3" t="n">
        <f aca="false">34.9 / H83</f>
        <v>8229.191228</v>
      </c>
      <c r="C83" s="3" t="n">
        <f aca="false">9.1 /H83</f>
        <v>2145.720349</v>
      </c>
      <c r="D83" s="4"/>
      <c r="E83" s="4"/>
      <c r="F83" s="4"/>
      <c r="G83" s="9" t="n">
        <v>3</v>
      </c>
      <c r="H83" s="3" t="n">
        <v>0.004241</v>
      </c>
      <c r="I83" s="10"/>
      <c r="J83" s="10"/>
      <c r="K83" s="10"/>
      <c r="L83" s="10"/>
      <c r="M83" s="10"/>
      <c r="N83" s="10"/>
      <c r="O83" s="10"/>
      <c r="P83" s="10"/>
      <c r="Q83" s="10"/>
      <c r="R83" s="10"/>
      <c r="S83" s="10"/>
      <c r="T83" s="10"/>
      <c r="U83" s="10"/>
      <c r="V83" s="11"/>
      <c r="W83" s="11"/>
      <c r="X83" s="11"/>
      <c r="Y83" s="11"/>
      <c r="Z83" s="11"/>
      <c r="AA83" s="11"/>
    </row>
    <row r="84" customFormat="false" ht="21.75" hidden="false" customHeight="true" outlineLevel="0" collapsed="false">
      <c r="A84" s="3" t="s">
        <v>134</v>
      </c>
      <c r="B84" s="3" t="n">
        <f aca="false">(13.8+12.7+13.3+10.8+10.2+7.3+5.9+5.7+3.3+1.2)/5 /H84</f>
        <v>1806.866953</v>
      </c>
      <c r="C84" s="3" t="n">
        <f aca="false">(1.6+2+0.8+0.5+3.4+1.5+3.1+2.3+3.3+2.3)/5 /H84</f>
        <v>446.3519313</v>
      </c>
      <c r="D84" s="4"/>
      <c r="E84" s="4"/>
      <c r="F84" s="4"/>
      <c r="G84" s="9" t="n">
        <v>3</v>
      </c>
      <c r="H84" s="3" t="n">
        <v>0.00932</v>
      </c>
      <c r="I84" s="10"/>
      <c r="J84" s="10"/>
      <c r="K84" s="10"/>
      <c r="L84" s="10"/>
      <c r="M84" s="10"/>
      <c r="N84" s="10"/>
      <c r="O84" s="10"/>
      <c r="P84" s="10"/>
      <c r="Q84" s="10"/>
      <c r="R84" s="10"/>
      <c r="S84" s="10"/>
      <c r="T84" s="10"/>
      <c r="U84" s="10"/>
      <c r="V84" s="11"/>
      <c r="W84" s="11"/>
      <c r="X84" s="11"/>
      <c r="Y84" s="11"/>
      <c r="Z84" s="11"/>
      <c r="AA84" s="11"/>
    </row>
    <row r="85" customFormat="false" ht="15.75" hidden="false" customHeight="true" outlineLevel="0" collapsed="false">
      <c r="A85" s="3" t="s">
        <v>135</v>
      </c>
      <c r="B85" s="3" t="n">
        <f aca="false">(2*231.58+2*226.31+4*255.2+3*247.37+4*192.11+197.37+2*192.1+2*66.45+28.29)/21/(100*100*50)/10*1000000000</f>
        <v>39903.71429</v>
      </c>
      <c r="C85" s="3" t="n">
        <f aca="false">9.58/(100*100*50)/10*1000000000</f>
        <v>1916</v>
      </c>
      <c r="D85" s="5" t="s">
        <v>136</v>
      </c>
      <c r="E85" s="3" t="s">
        <v>137</v>
      </c>
      <c r="F85" s="3" t="s">
        <v>138</v>
      </c>
      <c r="G85" s="3" t="n">
        <v>0</v>
      </c>
      <c r="H85" s="3"/>
      <c r="I85" s="10"/>
      <c r="J85" s="10"/>
      <c r="K85" s="10"/>
      <c r="L85" s="10"/>
      <c r="M85" s="10"/>
      <c r="N85" s="10"/>
      <c r="O85" s="10"/>
      <c r="P85" s="10"/>
      <c r="Q85" s="10"/>
      <c r="R85" s="10"/>
      <c r="S85" s="10"/>
      <c r="T85" s="10"/>
      <c r="U85" s="10"/>
      <c r="V85" s="11"/>
      <c r="W85" s="11"/>
      <c r="X85" s="11"/>
      <c r="Y85" s="11"/>
      <c r="Z85" s="11"/>
      <c r="AA85" s="11"/>
    </row>
    <row r="86" customFormat="false" ht="15.75" hidden="false" customHeight="true" outlineLevel="0" collapsed="false">
      <c r="A86" s="3" t="s">
        <v>135</v>
      </c>
      <c r="B86" s="3" t="n">
        <f aca="false">(0.31+0.4+0.94+1.38)/4*100000</f>
        <v>75750</v>
      </c>
      <c r="C86" s="3" t="n">
        <f aca="false">(0.22+0.23+0.38+0.5)/4*100000</f>
        <v>33250</v>
      </c>
      <c r="D86" s="5" t="s">
        <v>139</v>
      </c>
      <c r="E86" s="3" t="s">
        <v>140</v>
      </c>
      <c r="F86" s="3" t="s">
        <v>141</v>
      </c>
      <c r="G86" s="3" t="n">
        <v>0</v>
      </c>
      <c r="H86" s="3"/>
      <c r="I86" s="10"/>
      <c r="J86" s="10"/>
      <c r="K86" s="10"/>
      <c r="L86" s="10"/>
      <c r="M86" s="10"/>
      <c r="N86" s="10"/>
      <c r="O86" s="10"/>
      <c r="P86" s="10"/>
      <c r="Q86" s="10"/>
      <c r="R86" s="10"/>
      <c r="S86" s="10"/>
      <c r="T86" s="10"/>
      <c r="U86" s="10"/>
      <c r="V86" s="11"/>
      <c r="W86" s="11"/>
      <c r="X86" s="11"/>
      <c r="Y86" s="11"/>
      <c r="Z86" s="11"/>
      <c r="AA86" s="11"/>
    </row>
    <row r="87" customFormat="false" ht="15.75" hidden="false" customHeight="true" outlineLevel="0" collapsed="false">
      <c r="A87" s="3" t="s">
        <v>142</v>
      </c>
      <c r="B87" s="3" t="n">
        <f aca="false">26 / (PI() * POWER(300/2, 2) * 128)*1000000000</f>
        <v>2873.630917</v>
      </c>
      <c r="C87" s="3" t="n">
        <f aca="false">8/ (PI() * POWER(300/2, 2) * 128)*1000000000</f>
        <v>884.1941283</v>
      </c>
      <c r="D87" s="4" t="s">
        <v>143</v>
      </c>
      <c r="E87" s="4" t="s">
        <v>144</v>
      </c>
      <c r="F87" s="4" t="s">
        <v>145</v>
      </c>
      <c r="G87" s="3" t="n">
        <v>0</v>
      </c>
    </row>
    <row r="88" customFormat="false" ht="15.75" hidden="false" customHeight="true" outlineLevel="0" collapsed="false">
      <c r="A88" s="3" t="s">
        <v>146</v>
      </c>
      <c r="B88" s="3" t="n">
        <f aca="false">(107+123)/ (PI() * POWER(300/2, 2) * (418-128))*1000000000</f>
        <v>11220.11859</v>
      </c>
      <c r="C88" s="3" t="n">
        <f aca="false">(7+19)/ (PI() * POWER(300/2, 2) * (418-128))*1000000000</f>
        <v>1268.361232</v>
      </c>
      <c r="D88" s="4"/>
      <c r="E88" s="4"/>
      <c r="F88" s="4"/>
      <c r="G88" s="3" t="n">
        <v>0</v>
      </c>
    </row>
    <row r="89" customFormat="false" ht="15.75" hidden="false" customHeight="true" outlineLevel="0" collapsed="false">
      <c r="A89" s="3" t="s">
        <v>147</v>
      </c>
      <c r="B89" s="3" t="n">
        <f aca="false">140/ (PI() * POWER(300/2, 2) * (588-418))*1000000000</f>
        <v>11650.55793</v>
      </c>
      <c r="C89" s="3" t="n">
        <f aca="false">9/ (PI() * POWER(300/2, 2) * (588-418))*1000000000</f>
        <v>748.9644381</v>
      </c>
      <c r="D89" s="4"/>
      <c r="E89" s="4"/>
      <c r="F89" s="4"/>
      <c r="G89" s="3" t="n">
        <v>0</v>
      </c>
    </row>
    <row r="90" customFormat="false" ht="15.75" hidden="false" customHeight="true" outlineLevel="0" collapsed="false">
      <c r="A90" s="3" t="s">
        <v>148</v>
      </c>
      <c r="B90" s="3" t="n">
        <f aca="false">(90+131)/ (PI() * POWER(300/2, 2) * (890-588))*1000000000</f>
        <v>10352.68357</v>
      </c>
      <c r="C90" s="3" t="n">
        <f aca="false">(9+14)/ (PI() * POWER(300/2, 2) * (890-588))*1000000000</f>
        <v>1077.428607</v>
      </c>
      <c r="D90" s="4"/>
      <c r="E90" s="4"/>
      <c r="F90" s="4"/>
      <c r="G90" s="3" t="n">
        <v>0</v>
      </c>
    </row>
    <row r="91" customFormat="false" ht="15.75" hidden="false" customHeight="true" outlineLevel="0" collapsed="false">
      <c r="A91" s="3" t="s">
        <v>149</v>
      </c>
      <c r="B91" s="3" t="n">
        <f aca="false">127/ (PI() * POWER(300/2, 2) * (1154-890))*1000000000</f>
        <v>6805.61541167364</v>
      </c>
      <c r="C91" s="3" t="n">
        <f aca="false">9/ (PI() * POWER(300/2, 2) * (1154-890))*1000000000</f>
        <v>482.287706339077</v>
      </c>
      <c r="D91" s="4"/>
      <c r="E91" s="4"/>
      <c r="F91" s="4"/>
      <c r="G91" s="3" t="n">
        <v>0</v>
      </c>
    </row>
    <row r="92" customFormat="false" ht="15.75" hidden="false" customHeight="true" outlineLevel="0" collapsed="false">
      <c r="A92" s="3" t="s">
        <v>150</v>
      </c>
      <c r="B92" s="3" t="n">
        <f aca="false">127/ (PI() * POWER(300/2, 2) * (1154-890))*1000000000</f>
        <v>6805.61541167364</v>
      </c>
      <c r="C92" s="3" t="n">
        <f aca="false">9/ (PI() * POWER(300/2, 2) * (1154-890))*1000000000</f>
        <v>482.287706339077</v>
      </c>
      <c r="D92" s="4"/>
      <c r="E92" s="4"/>
      <c r="F92" s="4"/>
      <c r="G92" s="3" t="n">
        <v>0</v>
      </c>
    </row>
    <row r="93" customFormat="false" ht="15.75" hidden="false" customHeight="true" outlineLevel="0" collapsed="false">
      <c r="A93" s="3" t="s">
        <v>151</v>
      </c>
      <c r="B93" s="3" t="n">
        <f aca="false">11.4/10000/14*1000000000</f>
        <v>81428.57143</v>
      </c>
      <c r="C93" s="3" t="n">
        <f aca="false">0.8139/10000/14*1000000000*SQRT(5)</f>
        <v>12999.54091</v>
      </c>
      <c r="D93" s="4" t="s">
        <v>152</v>
      </c>
      <c r="E93" s="4" t="s">
        <v>153</v>
      </c>
      <c r="F93" s="4" t="s">
        <v>154</v>
      </c>
      <c r="G93" s="3" t="n">
        <v>0</v>
      </c>
    </row>
    <row r="94" customFormat="false" ht="15.75" hidden="false" customHeight="true" outlineLevel="0" collapsed="false">
      <c r="A94" s="3" t="s">
        <v>155</v>
      </c>
      <c r="B94" s="3" t="n">
        <f aca="false">0.99/10000/14*1000000000</f>
        <v>7071.428571</v>
      </c>
      <c r="C94" s="3" t="n">
        <f aca="false">0.3488/10000/14*1000000000*SQRT(5)</f>
        <v>5571.003647</v>
      </c>
      <c r="D94" s="4"/>
      <c r="E94" s="4"/>
      <c r="F94" s="4"/>
      <c r="G94" s="3" t="n">
        <v>0</v>
      </c>
    </row>
    <row r="95" customFormat="false" ht="15.75" hidden="false" customHeight="true" outlineLevel="0" collapsed="false">
      <c r="A95" s="3" t="s">
        <v>156</v>
      </c>
      <c r="B95" s="3" t="n">
        <f aca="false">13.26/10000/14*1000000000</f>
        <v>94714.28571</v>
      </c>
      <c r="C95" s="3" t="n">
        <f aca="false">1.279/10000/14*1000000000*SQRT(5)</f>
        <v>20428.07817</v>
      </c>
      <c r="D95" s="4"/>
      <c r="E95" s="4"/>
      <c r="F95" s="4"/>
      <c r="G95" s="3" t="n">
        <v>0</v>
      </c>
    </row>
    <row r="96" customFormat="false" ht="15.75" hidden="false" customHeight="true" outlineLevel="0" collapsed="false">
      <c r="A96" s="3" t="s">
        <v>157</v>
      </c>
      <c r="B96" s="3" t="n">
        <f aca="false">1.05/10000/14*1000000000</f>
        <v>7500</v>
      </c>
      <c r="C96" s="3" t="n">
        <f aca="false">0.1162/10000/14*1000000000*SQRT(5)</f>
        <v>1855.936421</v>
      </c>
      <c r="D96" s="4"/>
      <c r="E96" s="4"/>
      <c r="F96" s="4"/>
      <c r="G96" s="3" t="n">
        <v>0</v>
      </c>
    </row>
    <row r="97" customFormat="false" ht="15.75" hidden="false" customHeight="true" outlineLevel="0" collapsed="false">
      <c r="A97" s="9" t="s">
        <v>158</v>
      </c>
      <c r="B97" s="3" t="n">
        <v>16869.1</v>
      </c>
      <c r="C97" s="3" t="n">
        <v>1792</v>
      </c>
      <c r="D97" s="3" t="s">
        <v>159</v>
      </c>
      <c r="E97" s="3" t="s">
        <v>160</v>
      </c>
      <c r="F97" s="3" t="s">
        <v>161</v>
      </c>
      <c r="G97" s="3" t="n">
        <v>0</v>
      </c>
    </row>
    <row r="98" customFormat="false" ht="15.75" hidden="false" customHeight="true" outlineLevel="0" collapsed="false">
      <c r="A98" s="3" t="s">
        <v>162</v>
      </c>
      <c r="B98" s="3" t="n">
        <v>7085.714285714</v>
      </c>
      <c r="C98" s="3" t="n">
        <f aca="false">457.142857143*SQRT(5)</f>
        <v>1022.202504</v>
      </c>
      <c r="D98" s="6" t="s">
        <v>163</v>
      </c>
      <c r="E98" s="6" t="s">
        <v>164</v>
      </c>
      <c r="F98" s="6" t="s">
        <v>165</v>
      </c>
      <c r="G98" s="3" t="n">
        <v>0</v>
      </c>
    </row>
    <row r="99" customFormat="false" ht="15.75" hidden="false" customHeight="true" outlineLevel="0" collapsed="false">
      <c r="A99" s="3" t="s">
        <v>15</v>
      </c>
      <c r="B99" s="3" t="n">
        <v>3172.131147541</v>
      </c>
      <c r="C99" s="3" t="n">
        <f aca="false">774.590163934*SQRT(6)</f>
        <v>1897.350661</v>
      </c>
      <c r="D99" s="6"/>
      <c r="E99" s="6"/>
      <c r="F99" s="6"/>
      <c r="G99" s="3" t="n">
        <v>0</v>
      </c>
    </row>
    <row r="100" customFormat="false" ht="15.75" hidden="false" customHeight="true" outlineLevel="0" collapsed="false">
      <c r="A100" s="3" t="s">
        <v>27</v>
      </c>
      <c r="B100" s="3" t="n">
        <v>4961.06557377</v>
      </c>
      <c r="C100" s="3" t="n">
        <f aca="false">461.06557377*SQRT(6)</f>
        <v>1129.375394</v>
      </c>
      <c r="D100" s="6"/>
      <c r="E100" s="6"/>
      <c r="F100" s="6"/>
      <c r="G100" s="3" t="n">
        <v>0</v>
      </c>
    </row>
    <row r="101" customFormat="false" ht="15.75" hidden="false" customHeight="true" outlineLevel="0" collapsed="false">
      <c r="A101" s="3" t="s">
        <v>28</v>
      </c>
      <c r="B101" s="3" t="n">
        <v>6602.459016393</v>
      </c>
      <c r="C101" s="3" t="n">
        <f aca="false">1217.213114754*SQRT(6)</f>
        <v>2981.551039</v>
      </c>
      <c r="D101" s="6"/>
      <c r="E101" s="6"/>
      <c r="F101" s="6"/>
      <c r="G101" s="3" t="n">
        <v>0</v>
      </c>
    </row>
    <row r="102" customFormat="false" ht="15.75" hidden="false" customHeight="true" outlineLevel="0" collapsed="false">
      <c r="A102" s="3" t="s">
        <v>21</v>
      </c>
      <c r="B102" s="3" t="n">
        <v>3748.953974895</v>
      </c>
      <c r="C102" s="3" t="n">
        <f aca="false">937.238493724*SQRT(6)</f>
        <v>2295.756077</v>
      </c>
      <c r="D102" s="6"/>
      <c r="E102" s="6"/>
      <c r="F102" s="6"/>
      <c r="G102" s="3" t="n">
        <v>0</v>
      </c>
    </row>
    <row r="103" customFormat="false" ht="15.75" hidden="false" customHeight="true" outlineLevel="0" collapsed="false">
      <c r="A103" s="3" t="s">
        <v>18</v>
      </c>
      <c r="B103" s="3" t="n">
        <v>5221.757322176</v>
      </c>
      <c r="C103" s="3" t="n">
        <f aca="false">1037.656903766*SQRT(6)</f>
        <v>2541.729942</v>
      </c>
      <c r="D103" s="6"/>
      <c r="E103" s="6"/>
      <c r="F103" s="6"/>
      <c r="G103" s="3" t="n">
        <v>0</v>
      </c>
    </row>
    <row r="104" customFormat="false" ht="15.75" hidden="false" customHeight="true" outlineLevel="0" collapsed="false">
      <c r="A104" s="3" t="s">
        <v>19</v>
      </c>
      <c r="B104" s="3" t="n">
        <v>4619.246861925</v>
      </c>
      <c r="C104" s="3" t="n">
        <f aca="false">669.456066946*SQRT(6)</f>
        <v>1639.825769</v>
      </c>
      <c r="D104" s="6"/>
      <c r="E104" s="6"/>
      <c r="F104" s="6"/>
      <c r="G104" s="3" t="n">
        <v>0</v>
      </c>
    </row>
    <row r="105" customFormat="false" ht="15.75" hidden="false" customHeight="true" outlineLevel="0" collapsed="false">
      <c r="A105" s="3" t="s">
        <v>20</v>
      </c>
      <c r="B105" s="3" t="n">
        <v>2912.133891213</v>
      </c>
      <c r="C105" s="3" t="n">
        <f aca="false">502.092050209*SQRT(6)</f>
        <v>1229.869327</v>
      </c>
      <c r="D105" s="6"/>
      <c r="E105" s="6"/>
      <c r="F105" s="6"/>
      <c r="G105" s="3" t="n">
        <v>0</v>
      </c>
    </row>
    <row r="106" customFormat="false" ht="15.75" hidden="false" customHeight="true" outlineLevel="0" collapsed="false">
      <c r="A106" s="3" t="s">
        <v>26</v>
      </c>
      <c r="B106" s="3" t="n">
        <v>3748.953974895</v>
      </c>
      <c r="C106" s="3" t="n">
        <f aca="false">937.238493724*SQRT(6)</f>
        <v>2295.756077</v>
      </c>
      <c r="D106" s="6"/>
      <c r="E106" s="6"/>
      <c r="F106" s="6"/>
      <c r="G106" s="3" t="n">
        <v>0</v>
      </c>
    </row>
    <row r="107" customFormat="false" ht="15.75" hidden="false" customHeight="true" outlineLevel="0" collapsed="false">
      <c r="A107" s="3" t="s">
        <v>22</v>
      </c>
      <c r="B107" s="3" t="n">
        <v>5221.757322176</v>
      </c>
      <c r="C107" s="3" t="n">
        <f aca="false">1037.656903766*SQRT(6)</f>
        <v>2541.729942</v>
      </c>
      <c r="D107" s="6"/>
      <c r="E107" s="6"/>
      <c r="F107" s="6"/>
      <c r="G107" s="3" t="n">
        <v>0</v>
      </c>
    </row>
    <row r="108" customFormat="false" ht="15.75" hidden="false" customHeight="true" outlineLevel="0" collapsed="false">
      <c r="A108" s="3" t="s">
        <v>23</v>
      </c>
      <c r="B108" s="3" t="n">
        <v>4619.246861925</v>
      </c>
      <c r="C108" s="3" t="n">
        <f aca="false">669.456066946*SQRT(6)</f>
        <v>1639.825769</v>
      </c>
      <c r="D108" s="6"/>
      <c r="E108" s="6"/>
      <c r="F108" s="6"/>
      <c r="G108" s="3" t="n">
        <v>0</v>
      </c>
    </row>
    <row r="109" customFormat="false" ht="15.75" hidden="false" customHeight="true" outlineLevel="0" collapsed="false">
      <c r="A109" s="3" t="s">
        <v>25</v>
      </c>
      <c r="B109" s="3" t="n">
        <v>2912.133891213</v>
      </c>
      <c r="C109" s="3" t="n">
        <f aca="false">502.092050209*SQRT(6)</f>
        <v>1229.869327</v>
      </c>
      <c r="D109" s="6"/>
      <c r="E109" s="6"/>
      <c r="F109" s="6"/>
      <c r="G109" s="3" t="n">
        <v>0</v>
      </c>
    </row>
    <row r="110" customFormat="false" ht="15.75" hidden="false" customHeight="true" outlineLevel="0" collapsed="false">
      <c r="A110" s="3" t="s">
        <v>31</v>
      </c>
      <c r="B110" s="3" t="n">
        <v>2292.887029289</v>
      </c>
      <c r="C110" s="3" t="n">
        <f aca="false">334.728033473*SQRT(6)</f>
        <v>819.912884614098</v>
      </c>
      <c r="D110" s="6"/>
      <c r="E110" s="6"/>
      <c r="F110" s="6"/>
      <c r="G110" s="3" t="n">
        <v>0</v>
      </c>
    </row>
    <row r="111" customFormat="false" ht="15.75" hidden="false" customHeight="true" outlineLevel="0" collapsed="false">
      <c r="A111" s="3" t="s">
        <v>30</v>
      </c>
      <c r="B111" s="3" t="n">
        <v>1171.548117155</v>
      </c>
      <c r="C111" s="3" t="n">
        <f aca="false">334.728033473*SQRT(6)</f>
        <v>819.912884614098</v>
      </c>
      <c r="D111" s="6"/>
      <c r="E111" s="6"/>
      <c r="F111" s="6"/>
      <c r="G111" s="3" t="n">
        <v>0</v>
      </c>
    </row>
    <row r="112" customFormat="false" ht="15.75" hidden="false" customHeight="true" outlineLevel="0" collapsed="false">
      <c r="A112" s="3" t="s">
        <v>29</v>
      </c>
      <c r="B112" s="3" t="n">
        <v>5974.89539749</v>
      </c>
      <c r="C112" s="3" t="n">
        <f aca="false">1004.184100418*SQRT(6)</f>
        <v>2459.738654</v>
      </c>
      <c r="D112" s="6"/>
      <c r="E112" s="6"/>
      <c r="F112" s="6"/>
      <c r="G112" s="3" t="n">
        <v>0</v>
      </c>
    </row>
    <row r="113" customFormat="false" ht="15.75" hidden="false" customHeight="true" outlineLevel="0" collapsed="false">
      <c r="A113" s="3" t="s">
        <v>166</v>
      </c>
      <c r="B113" s="3" t="n">
        <v>10846.0291734197</v>
      </c>
      <c r="C113" s="10" t="n">
        <f aca="false">(11186.3857374392-B113)*SQRT(3)</f>
        <v>589.5148616</v>
      </c>
      <c r="D113" s="3" t="s">
        <v>167</v>
      </c>
      <c r="E113" s="3" t="s">
        <v>168</v>
      </c>
      <c r="F113" s="3" t="s">
        <v>169</v>
      </c>
      <c r="G113" s="3" t="n">
        <v>0</v>
      </c>
    </row>
    <row r="114" customFormat="false" ht="15.75" hidden="false" customHeight="true" outlineLevel="0" collapsed="false">
      <c r="A114" s="9" t="s">
        <v>86</v>
      </c>
      <c r="B114" s="3" t="n">
        <v>13716.5251469627</v>
      </c>
      <c r="C114" s="10" t="n">
        <f aca="false">16832.1358589157-B114</f>
        <v>3115.610712</v>
      </c>
      <c r="D114" s="5" t="s">
        <v>170</v>
      </c>
      <c r="E114" s="6" t="s">
        <v>171</v>
      </c>
      <c r="F114" s="6" t="s">
        <v>172</v>
      </c>
      <c r="G114" s="3" t="n">
        <v>0</v>
      </c>
    </row>
    <row r="115" customFormat="false" ht="15.75" hidden="false" customHeight="true" outlineLevel="0" collapsed="false">
      <c r="A115" s="9" t="s">
        <v>85</v>
      </c>
      <c r="B115" s="3" t="n">
        <v>16848.3943241224</v>
      </c>
      <c r="C115" s="10" t="n">
        <f aca="false">19111.2770724421 -B115</f>
        <v>2262.882748</v>
      </c>
      <c r="D115" s="9" t="s">
        <v>173</v>
      </c>
      <c r="E115" s="6"/>
      <c r="F115" s="6"/>
      <c r="G115" s="3" t="n">
        <v>0</v>
      </c>
    </row>
    <row r="116" customFormat="false" ht="15.75" hidden="false" customHeight="true" outlineLevel="0" collapsed="false">
      <c r="A116" s="9" t="s">
        <v>85</v>
      </c>
      <c r="B116" s="3" t="n">
        <f aca="false">25.57*1000</f>
        <v>25570</v>
      </c>
      <c r="C116" s="10" t="n">
        <f aca="false">2.58*1000</f>
        <v>2580</v>
      </c>
      <c r="D116" s="4" t="s">
        <v>174</v>
      </c>
      <c r="E116" s="6" t="s">
        <v>175</v>
      </c>
      <c r="F116" s="6" t="s">
        <v>74</v>
      </c>
      <c r="G116" s="3" t="n">
        <v>0</v>
      </c>
    </row>
    <row r="117" customFormat="false" ht="15.75" hidden="false" customHeight="true" outlineLevel="0" collapsed="false">
      <c r="A117" s="9" t="s">
        <v>86</v>
      </c>
      <c r="B117" s="10" t="n">
        <f aca="false">120.11*1000</f>
        <v>120110</v>
      </c>
      <c r="C117" s="10" t="n">
        <f aca="false">11.41*1000</f>
        <v>11410</v>
      </c>
      <c r="D117" s="4"/>
      <c r="E117" s="4"/>
      <c r="F117" s="4"/>
      <c r="G117" s="3" t="n">
        <v>0</v>
      </c>
    </row>
    <row r="118" customFormat="false" ht="15.75" hidden="false" customHeight="true" outlineLevel="0" collapsed="false">
      <c r="A118" s="3" t="s">
        <v>176</v>
      </c>
      <c r="B118" s="3" t="e">
        <f aca="false">31047.5534114403/722160664.819944*1000000000/H118</f>
        <v>#DIV/0!</v>
      </c>
      <c r="C118" s="3" t="e">
        <f aca="false">(33666.4369400413/722160664.819944*1000000000/H118-B118) *SQRT(4)</f>
        <v>#DIV/0!</v>
      </c>
      <c r="D118" s="4" t="s">
        <v>177</v>
      </c>
      <c r="E118" s="4" t="s">
        <v>178</v>
      </c>
      <c r="F118" s="4" t="s">
        <v>179</v>
      </c>
      <c r="G118" s="12" t="n">
        <v>6</v>
      </c>
    </row>
    <row r="119" customFormat="false" ht="15.75" hidden="false" customHeight="true" outlineLevel="0" collapsed="false">
      <c r="A119" s="3" t="s">
        <v>180</v>
      </c>
      <c r="B119" s="3" t="e">
        <f aca="false">28118.5389386629/698891966.759002*1000000000/H119</f>
        <v>#DIV/0!</v>
      </c>
      <c r="C119" s="3" t="e">
        <f aca="false">(31495.5203308063/698891966.759002*1000000000/H119-B119) *SQRT(4)</f>
        <v>#DIV/0!</v>
      </c>
      <c r="D119" s="4"/>
      <c r="E119" s="4"/>
      <c r="F119" s="4"/>
      <c r="G119" s="12" t="n">
        <v>6</v>
      </c>
    </row>
    <row r="120" customFormat="false" ht="15.75" hidden="false" customHeight="true" outlineLevel="0" collapsed="false">
      <c r="A120" s="3" t="s">
        <v>156</v>
      </c>
      <c r="B120" s="3" t="e">
        <f aca="false">41626.4645072363/1147645429.36288*1000000000/H120</f>
        <v>#DIV/0!</v>
      </c>
      <c r="C120" s="3" t="e">
        <f aca="false">(44245.3480358373/1147645429.36288*1000000000/H120-B120) *SQRT(4)</f>
        <v>#DIV/0!</v>
      </c>
      <c r="D120" s="4"/>
      <c r="E120" s="4"/>
      <c r="F120" s="4"/>
      <c r="G120" s="12" t="n">
        <v>6</v>
      </c>
    </row>
    <row r="121" customFormat="false" ht="15.75" hidden="false" customHeight="true" outlineLevel="0" collapsed="false">
      <c r="A121" s="3" t="s">
        <v>151</v>
      </c>
      <c r="B121" s="3" t="e">
        <f aca="false">37801.516195727/1087811634.34903*1000000000/H121</f>
        <v>#DIV/0!</v>
      </c>
      <c r="C121" s="3" t="e">
        <f aca="false">(42212.2674017918/1087811634.34903*1000000000/H121-B121) *SQRT(4)</f>
        <v>#DIV/0!</v>
      </c>
      <c r="D121" s="4"/>
      <c r="E121" s="4"/>
      <c r="F121" s="4"/>
      <c r="G121" s="12" t="n">
        <v>6</v>
      </c>
    </row>
    <row r="122" customFormat="false" ht="15.75" hidden="false" customHeight="true" outlineLevel="0" collapsed="false">
      <c r="A122" s="3" t="s">
        <v>181</v>
      </c>
      <c r="B122" s="3" t="e">
        <f aca="false">37801.516195727/1087811634.34903*1000000000/H122</f>
        <v>#DIV/0!</v>
      </c>
      <c r="C122" s="3" t="e">
        <f aca="false">(42212.2674017918/1087811634.34903*1000000000/H122-B122) *SQRT(4)</f>
        <v>#DIV/0!</v>
      </c>
      <c r="D122" s="4"/>
      <c r="E122" s="4"/>
      <c r="F122" s="4"/>
      <c r="G122" s="12" t="n">
        <v>6</v>
      </c>
    </row>
    <row r="123" customFormat="false" ht="15.75" hidden="false" customHeight="true" outlineLevel="0" collapsed="false">
      <c r="A123" s="3" t="s">
        <v>182</v>
      </c>
      <c r="B123" s="3" t="e">
        <f aca="false">22708.4769124741/605817174.515235*1000000000/H123</f>
        <v>#DIV/0!</v>
      </c>
      <c r="C123" s="3" t="e">
        <f aca="false">(26292.2122674017/605817174.515235*1000000000/H123-B123) *SQRT(4)</f>
        <v>#DIV/0!</v>
      </c>
      <c r="D123" s="4"/>
      <c r="E123" s="4"/>
      <c r="F123" s="4"/>
      <c r="G123" s="12" t="n">
        <v>6</v>
      </c>
    </row>
    <row r="124" customFormat="false" ht="15.75" hidden="false" customHeight="true" outlineLevel="0" collapsed="false">
      <c r="A124" s="3" t="s">
        <v>183</v>
      </c>
      <c r="B124" s="3" t="e">
        <f aca="false">42005.5134390075/1204155124.65373*1000000000/H124</f>
        <v>#DIV/0!</v>
      </c>
      <c r="C124" s="3" t="e">
        <f aca="false">(44865.6099241902/1204155124.65373*1000000000/H124-B124) *SQRT(4)</f>
        <v>#DIV/0!</v>
      </c>
      <c r="D124" s="4"/>
      <c r="E124" s="4"/>
      <c r="F124" s="4"/>
      <c r="G124" s="12" t="n">
        <v>6</v>
      </c>
    </row>
    <row r="125" customFormat="false" ht="15.75" hidden="false" customHeight="true" outlineLevel="0" collapsed="false">
      <c r="A125" s="3" t="s">
        <v>184</v>
      </c>
      <c r="B125" s="3" t="e">
        <f aca="false">18056.5127498277/501939058.171745*1000000000/H125</f>
        <v>#DIV/0!</v>
      </c>
      <c r="C125" s="3" t="e">
        <f aca="false">(18642.3156443831/501939058.171745*1000000000/H125-B125) *SQRT(4)</f>
        <v>#DIV/0!</v>
      </c>
      <c r="D125" s="4"/>
      <c r="E125" s="4"/>
      <c r="F125" s="4"/>
      <c r="G125" s="12" t="n">
        <v>6</v>
      </c>
    </row>
    <row r="126" customFormat="false" ht="15.75" hidden="false" customHeight="true" outlineLevel="0" collapsed="false">
      <c r="A126" s="3" t="s">
        <v>116</v>
      </c>
      <c r="B126" s="3" t="n">
        <f aca="false">3.6/10^4/40*1000000000</f>
        <v>9000</v>
      </c>
      <c r="D126" s="4" t="s">
        <v>185</v>
      </c>
      <c r="E126" s="4" t="s">
        <v>118</v>
      </c>
      <c r="F126" s="4" t="s">
        <v>186</v>
      </c>
      <c r="G126" s="3" t="n">
        <v>0</v>
      </c>
    </row>
    <row r="127" customFormat="false" ht="15.75" hidden="false" customHeight="true" outlineLevel="0" collapsed="false">
      <c r="A127" s="3" t="s">
        <v>120</v>
      </c>
      <c r="B127" s="3" t="n">
        <f aca="false">1.6/10^4/40*1000000000</f>
        <v>4000</v>
      </c>
      <c r="D127" s="4"/>
      <c r="E127" s="4"/>
      <c r="F127" s="4"/>
      <c r="G127" s="3" t="n">
        <v>0</v>
      </c>
    </row>
    <row r="128" customFormat="false" ht="15.75" hidden="false" customHeight="true" outlineLevel="0" collapsed="false">
      <c r="A128" s="3" t="s">
        <v>121</v>
      </c>
      <c r="B128" s="3" t="n">
        <f aca="false">2.4/10^4/40*1000000000</f>
        <v>6000</v>
      </c>
      <c r="D128" s="4"/>
      <c r="E128" s="4"/>
      <c r="F128" s="4"/>
      <c r="G128" s="3" t="n">
        <v>0</v>
      </c>
    </row>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1048553" customFormat="false" ht="12.8" hidden="false" customHeight="true" outlineLevel="0" collapsed="false"/>
    <row r="1048554" customFormat="false" ht="12.8" hidden="false" customHeight="true" outlineLevel="0" collapsed="false"/>
    <row r="1048555" customFormat="false" ht="12.8" hidden="false" customHeight="true" outlineLevel="0" collapsed="false"/>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56">
    <mergeCell ref="D2:D5"/>
    <mergeCell ref="E2:E5"/>
    <mergeCell ref="F2:F5"/>
    <mergeCell ref="D6:D20"/>
    <mergeCell ref="E6:E20"/>
    <mergeCell ref="F6:F20"/>
    <mergeCell ref="D22:D27"/>
    <mergeCell ref="E22:E27"/>
    <mergeCell ref="F22:F27"/>
    <mergeCell ref="D28:D48"/>
    <mergeCell ref="E28:E48"/>
    <mergeCell ref="F28:F48"/>
    <mergeCell ref="D50:D51"/>
    <mergeCell ref="E50:E51"/>
    <mergeCell ref="F50:F51"/>
    <mergeCell ref="D52:D55"/>
    <mergeCell ref="E52:E55"/>
    <mergeCell ref="F52:F55"/>
    <mergeCell ref="D56:D62"/>
    <mergeCell ref="E56:E63"/>
    <mergeCell ref="F56:F63"/>
    <mergeCell ref="D64:D65"/>
    <mergeCell ref="E64:E65"/>
    <mergeCell ref="F64:F65"/>
    <mergeCell ref="D66:D67"/>
    <mergeCell ref="E66:E67"/>
    <mergeCell ref="F66:F67"/>
    <mergeCell ref="E68:E72"/>
    <mergeCell ref="F68:F72"/>
    <mergeCell ref="D70:D72"/>
    <mergeCell ref="D75:D77"/>
    <mergeCell ref="E75:E77"/>
    <mergeCell ref="F75:F77"/>
    <mergeCell ref="D80:D84"/>
    <mergeCell ref="E80:E84"/>
    <mergeCell ref="F80:F84"/>
    <mergeCell ref="D87:D92"/>
    <mergeCell ref="E87:E92"/>
    <mergeCell ref="F87:F92"/>
    <mergeCell ref="D93:D96"/>
    <mergeCell ref="E93:E96"/>
    <mergeCell ref="F93:F96"/>
    <mergeCell ref="D98:D112"/>
    <mergeCell ref="E98:E112"/>
    <mergeCell ref="F98:F112"/>
    <mergeCell ref="E114:E115"/>
    <mergeCell ref="F114:F115"/>
    <mergeCell ref="D116:D117"/>
    <mergeCell ref="E116:E117"/>
    <mergeCell ref="F116:F117"/>
    <mergeCell ref="D118:D125"/>
    <mergeCell ref="E118:E125"/>
    <mergeCell ref="F118:F125"/>
    <mergeCell ref="D126:D128"/>
    <mergeCell ref="E126:E128"/>
    <mergeCell ref="F126:F128"/>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F6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48.29"/>
    <col collapsed="false" customWidth="true" hidden="false" outlineLevel="0" max="2" min="2" style="0" width="30.43"/>
    <col collapsed="false" customWidth="true" hidden="false" outlineLevel="0" max="3" min="3" style="0" width="14.43"/>
    <col collapsed="false" customWidth="true" hidden="false" outlineLevel="0" max="4" min="4" style="0" width="56.01"/>
    <col collapsed="false" customWidth="true" hidden="false" outlineLevel="0" max="5" min="5" style="0" width="48.69"/>
    <col collapsed="false" customWidth="true" hidden="false" outlineLevel="0" max="1025" min="6" style="0" width="14.43"/>
  </cols>
  <sheetData>
    <row r="1" customFormat="false" ht="15.75" hidden="false" customHeight="true" outlineLevel="0" collapsed="false">
      <c r="A1" s="1" t="s">
        <v>0</v>
      </c>
      <c r="B1" s="1" t="s">
        <v>187</v>
      </c>
      <c r="C1" s="2" t="s">
        <v>2</v>
      </c>
      <c r="D1" s="1" t="s">
        <v>3</v>
      </c>
      <c r="E1" s="1" t="s">
        <v>4</v>
      </c>
      <c r="F1" s="1" t="s">
        <v>5</v>
      </c>
    </row>
    <row r="2" customFormat="false" ht="15.75" hidden="false" customHeight="true" outlineLevel="0" collapsed="false">
      <c r="A2" s="3" t="s">
        <v>188</v>
      </c>
      <c r="B2" s="3" t="s">
        <v>189</v>
      </c>
      <c r="D2" s="13" t="s">
        <v>190</v>
      </c>
    </row>
    <row r="3" customFormat="false" ht="15.75" hidden="false" customHeight="true" outlineLevel="0" collapsed="false">
      <c r="A3" s="3" t="s">
        <v>191</v>
      </c>
      <c r="B3" s="3" t="s">
        <v>192</v>
      </c>
      <c r="D3" s="13"/>
    </row>
    <row r="4" customFormat="false" ht="15.75" hidden="false" customHeight="true" outlineLevel="0" collapsed="false">
      <c r="A4" s="3" t="s">
        <v>193</v>
      </c>
      <c r="B4" s="3" t="s">
        <v>194</v>
      </c>
      <c r="D4" s="13"/>
    </row>
    <row r="5" customFormat="false" ht="15.75" hidden="false" customHeight="true" outlineLevel="0" collapsed="false">
      <c r="A5" s="3" t="s">
        <v>195</v>
      </c>
      <c r="B5" s="3" t="s">
        <v>196</v>
      </c>
      <c r="D5" s="13"/>
    </row>
    <row r="6" customFormat="false" ht="15.75" hidden="false" customHeight="true" outlineLevel="0" collapsed="false">
      <c r="A6" s="3" t="s">
        <v>49</v>
      </c>
      <c r="B6" s="3" t="s">
        <v>197</v>
      </c>
      <c r="D6" s="13"/>
    </row>
    <row r="7" customFormat="false" ht="15.75" hidden="false" customHeight="true" outlineLevel="0" collapsed="false">
      <c r="A7" s="3" t="s">
        <v>198</v>
      </c>
      <c r="B7" s="3" t="s">
        <v>199</v>
      </c>
      <c r="D7" s="13"/>
    </row>
    <row r="8" customFormat="false" ht="15.75" hidden="false" customHeight="true" outlineLevel="0" collapsed="false">
      <c r="A8" s="3" t="s">
        <v>200</v>
      </c>
      <c r="B8" s="3" t="s">
        <v>201</v>
      </c>
      <c r="D8" s="13"/>
    </row>
    <row r="9" customFormat="false" ht="15.75" hidden="false" customHeight="true" outlineLevel="0" collapsed="false">
      <c r="A9" s="3" t="s">
        <v>202</v>
      </c>
      <c r="B9" s="3" t="s">
        <v>203</v>
      </c>
      <c r="D9" s="13"/>
    </row>
    <row r="10" customFormat="false" ht="15.75" hidden="false" customHeight="true" outlineLevel="0" collapsed="false">
      <c r="A10" s="3" t="s">
        <v>204</v>
      </c>
      <c r="B10" s="3" t="s">
        <v>205</v>
      </c>
      <c r="D10" s="13"/>
    </row>
    <row r="11" customFormat="false" ht="15.75" hidden="false" customHeight="true" outlineLevel="0" collapsed="false">
      <c r="A11" s="3" t="s">
        <v>206</v>
      </c>
      <c r="B11" s="3" t="s">
        <v>207</v>
      </c>
      <c r="D11" s="13"/>
    </row>
    <row r="12" customFormat="false" ht="15.75" hidden="false" customHeight="true" outlineLevel="0" collapsed="false">
      <c r="A12" s="3" t="s">
        <v>208</v>
      </c>
      <c r="B12" s="3" t="s">
        <v>209</v>
      </c>
      <c r="D12" s="13"/>
    </row>
    <row r="13" customFormat="false" ht="15.75" hidden="false" customHeight="true" outlineLevel="0" collapsed="false">
      <c r="A13" s="3" t="s">
        <v>210</v>
      </c>
      <c r="B13" s="3" t="s">
        <v>211</v>
      </c>
      <c r="D13" s="13"/>
    </row>
    <row r="14" customFormat="false" ht="15.75" hidden="false" customHeight="true" outlineLevel="0" collapsed="false">
      <c r="A14" s="3" t="s">
        <v>212</v>
      </c>
      <c r="B14" s="3" t="s">
        <v>213</v>
      </c>
      <c r="D14" s="13"/>
    </row>
    <row r="15" customFormat="false" ht="15.75" hidden="false" customHeight="true" outlineLevel="0" collapsed="false">
      <c r="A15" s="3" t="s">
        <v>214</v>
      </c>
      <c r="B15" s="3" t="s">
        <v>215</v>
      </c>
      <c r="D15" s="13"/>
    </row>
    <row r="16" customFormat="false" ht="15.75" hidden="false" customHeight="true" outlineLevel="0" collapsed="false">
      <c r="A16" s="3" t="s">
        <v>216</v>
      </c>
      <c r="B16" s="3" t="s">
        <v>217</v>
      </c>
      <c r="D16" s="13"/>
    </row>
    <row r="17" customFormat="false" ht="15.75" hidden="false" customHeight="true" outlineLevel="0" collapsed="false">
      <c r="A17" s="3" t="s">
        <v>218</v>
      </c>
      <c r="B17" s="3" t="s">
        <v>219</v>
      </c>
      <c r="D17" s="13"/>
    </row>
    <row r="18" customFormat="false" ht="15.75" hidden="false" customHeight="true" outlineLevel="0" collapsed="false">
      <c r="A18" s="3" t="s">
        <v>220</v>
      </c>
      <c r="B18" s="3" t="s">
        <v>221</v>
      </c>
      <c r="D18" s="13"/>
    </row>
    <row r="19" customFormat="false" ht="15.75" hidden="false" customHeight="true" outlineLevel="0" collapsed="false">
      <c r="A19" s="3" t="s">
        <v>222</v>
      </c>
      <c r="B19" s="3" t="s">
        <v>223</v>
      </c>
      <c r="D19" s="13"/>
    </row>
    <row r="20" customFormat="false" ht="15.75" hidden="false" customHeight="true" outlineLevel="0" collapsed="false">
      <c r="A20" s="3" t="s">
        <v>62</v>
      </c>
      <c r="B20" s="3" t="s">
        <v>224</v>
      </c>
      <c r="D20" s="13"/>
    </row>
    <row r="21" customFormat="false" ht="15.75" hidden="false" customHeight="true" outlineLevel="0" collapsed="false">
      <c r="A21" s="3" t="s">
        <v>225</v>
      </c>
      <c r="B21" s="3" t="s">
        <v>226</v>
      </c>
      <c r="D21" s="13"/>
    </row>
    <row r="22" customFormat="false" ht="15.75" hidden="false" customHeight="true" outlineLevel="0" collapsed="false">
      <c r="A22" s="3" t="s">
        <v>227</v>
      </c>
      <c r="B22" s="3" t="s">
        <v>228</v>
      </c>
      <c r="D22" s="13"/>
    </row>
    <row r="23" customFormat="false" ht="15.75" hidden="false" customHeight="true" outlineLevel="0" collapsed="false">
      <c r="A23" s="3" t="s">
        <v>229</v>
      </c>
      <c r="B23" s="3" t="s">
        <v>230</v>
      </c>
      <c r="D23" s="13"/>
    </row>
    <row r="24" customFormat="false" ht="15.75" hidden="false" customHeight="true" outlineLevel="0" collapsed="false">
      <c r="A24" s="3" t="s">
        <v>231</v>
      </c>
      <c r="B24" s="3" t="s">
        <v>232</v>
      </c>
      <c r="D24" s="13"/>
    </row>
    <row r="25" customFormat="false" ht="15.75" hidden="false" customHeight="true" outlineLevel="0" collapsed="false">
      <c r="A25" s="3" t="s">
        <v>233</v>
      </c>
      <c r="B25" s="3" t="s">
        <v>234</v>
      </c>
      <c r="D25" s="13"/>
    </row>
    <row r="26" customFormat="false" ht="15.75" hidden="false" customHeight="true" outlineLevel="0" collapsed="false">
      <c r="A26" s="3" t="s">
        <v>235</v>
      </c>
      <c r="B26" s="3" t="s">
        <v>236</v>
      </c>
      <c r="D26" s="13"/>
    </row>
    <row r="27" customFormat="false" ht="15.75" hidden="false" customHeight="true" outlineLevel="0" collapsed="false">
      <c r="A27" s="3" t="s">
        <v>237</v>
      </c>
      <c r="B27" s="3" t="s">
        <v>238</v>
      </c>
      <c r="D27" s="13"/>
    </row>
    <row r="28" customFormat="false" ht="15.75" hidden="false" customHeight="true" outlineLevel="0" collapsed="false">
      <c r="A28" s="3" t="s">
        <v>239</v>
      </c>
      <c r="B28" s="3" t="s">
        <v>240</v>
      </c>
      <c r="D28" s="13"/>
    </row>
    <row r="29" customFormat="false" ht="15.75" hidden="false" customHeight="true" outlineLevel="0" collapsed="false">
      <c r="A29" s="3" t="s">
        <v>241</v>
      </c>
      <c r="B29" s="3" t="s">
        <v>242</v>
      </c>
      <c r="D29" s="13"/>
    </row>
    <row r="30" customFormat="false" ht="15.75" hidden="false" customHeight="true" outlineLevel="0" collapsed="false">
      <c r="A30" s="3" t="s">
        <v>243</v>
      </c>
      <c r="B30" s="3" t="s">
        <v>244</v>
      </c>
      <c r="D30" s="13"/>
    </row>
    <row r="31" customFormat="false" ht="15.75" hidden="false" customHeight="true" outlineLevel="0" collapsed="false">
      <c r="A31" s="3" t="s">
        <v>245</v>
      </c>
      <c r="B31" s="3" t="s">
        <v>246</v>
      </c>
      <c r="D31" s="13"/>
    </row>
    <row r="32" customFormat="false" ht="15.75" hidden="false" customHeight="true" outlineLevel="0" collapsed="false">
      <c r="A32" s="3" t="s">
        <v>247</v>
      </c>
      <c r="B32" s="3" t="s">
        <v>248</v>
      </c>
      <c r="D32" s="13"/>
    </row>
    <row r="33" customFormat="false" ht="15.75" hidden="false" customHeight="true" outlineLevel="0" collapsed="false">
      <c r="A33" s="3" t="s">
        <v>249</v>
      </c>
      <c r="B33" s="3" t="s">
        <v>250</v>
      </c>
      <c r="D33" s="13"/>
    </row>
    <row r="34" customFormat="false" ht="15.75" hidden="false" customHeight="true" outlineLevel="0" collapsed="false">
      <c r="A34" s="3" t="s">
        <v>251</v>
      </c>
      <c r="B34" s="3" t="s">
        <v>252</v>
      </c>
      <c r="D34" s="13"/>
    </row>
    <row r="35" customFormat="false" ht="15.75" hidden="false" customHeight="true" outlineLevel="0" collapsed="false">
      <c r="A35" s="3" t="s">
        <v>253</v>
      </c>
      <c r="B35" s="3" t="s">
        <v>254</v>
      </c>
      <c r="D35" s="13"/>
    </row>
    <row r="36" customFormat="false" ht="15.75" hidden="false" customHeight="true" outlineLevel="0" collapsed="false">
      <c r="A36" s="3" t="s">
        <v>142</v>
      </c>
      <c r="B36" s="3" t="s">
        <v>255</v>
      </c>
      <c r="D36" s="13"/>
    </row>
    <row r="37" customFormat="false" ht="15.75" hidden="false" customHeight="true" outlineLevel="0" collapsed="false">
      <c r="A37" s="3" t="s">
        <v>256</v>
      </c>
      <c r="B37" s="3" t="s">
        <v>257</v>
      </c>
      <c r="D37" s="13"/>
    </row>
    <row r="38" customFormat="false" ht="15.75" hidden="false" customHeight="true" outlineLevel="0" collapsed="false">
      <c r="A38" s="3" t="s">
        <v>258</v>
      </c>
      <c r="B38" s="3" t="s">
        <v>259</v>
      </c>
      <c r="D38" s="13"/>
    </row>
    <row r="39" customFormat="false" ht="15.75" hidden="false" customHeight="true" outlineLevel="0" collapsed="false">
      <c r="A39" s="3" t="s">
        <v>260</v>
      </c>
      <c r="B39" s="3" t="s">
        <v>261</v>
      </c>
      <c r="D39" s="13"/>
    </row>
    <row r="40" customFormat="false" ht="15.75" hidden="false" customHeight="true" outlineLevel="0" collapsed="false">
      <c r="A40" s="3" t="s">
        <v>262</v>
      </c>
      <c r="B40" s="3" t="s">
        <v>263</v>
      </c>
      <c r="D40" s="13"/>
    </row>
    <row r="41" customFormat="false" ht="15.75" hidden="false" customHeight="true" outlineLevel="0" collapsed="false">
      <c r="A41" s="3" t="s">
        <v>264</v>
      </c>
      <c r="B41" s="3" t="s">
        <v>265</v>
      </c>
      <c r="D41" s="13"/>
    </row>
    <row r="42" customFormat="false" ht="15.75" hidden="false" customHeight="true" outlineLevel="0" collapsed="false">
      <c r="A42" s="10" t="s">
        <v>266</v>
      </c>
      <c r="B42" s="3" t="s">
        <v>267</v>
      </c>
      <c r="D42" s="5" t="s">
        <v>268</v>
      </c>
      <c r="E42" s="10" t="s">
        <v>269</v>
      </c>
      <c r="F42" s="10" t="s">
        <v>270</v>
      </c>
    </row>
    <row r="43" customFormat="false" ht="17.25" hidden="false" customHeight="true" outlineLevel="0" collapsed="false">
      <c r="A43" s="3" t="s">
        <v>271</v>
      </c>
      <c r="B43" s="3" t="s">
        <v>272</v>
      </c>
      <c r="D43" s="13" t="s">
        <v>190</v>
      </c>
    </row>
    <row r="44" customFormat="false" ht="15.75" hidden="false" customHeight="true" outlineLevel="0" collapsed="false">
      <c r="A44" s="3" t="s">
        <v>273</v>
      </c>
      <c r="B44" s="3" t="s">
        <v>274</v>
      </c>
      <c r="D44" s="13"/>
    </row>
    <row r="45" customFormat="false" ht="15.75" hidden="false" customHeight="true" outlineLevel="0" collapsed="false">
      <c r="A45" s="3" t="s">
        <v>275</v>
      </c>
      <c r="B45" s="3" t="s">
        <v>276</v>
      </c>
      <c r="D45" s="13"/>
    </row>
    <row r="46" customFormat="false" ht="15.75" hidden="false" customHeight="true" outlineLevel="0" collapsed="false">
      <c r="A46" s="3" t="s">
        <v>277</v>
      </c>
      <c r="B46" s="3" t="s">
        <v>278</v>
      </c>
      <c r="D46" s="13"/>
    </row>
    <row r="47" customFormat="false" ht="15.75" hidden="false" customHeight="true" outlineLevel="0" collapsed="false">
      <c r="A47" s="3" t="s">
        <v>279</v>
      </c>
      <c r="B47" s="3" t="s">
        <v>280</v>
      </c>
      <c r="D47" s="13"/>
    </row>
    <row r="48" customFormat="false" ht="15.75" hidden="false" customHeight="true" outlineLevel="0" collapsed="false">
      <c r="A48" s="3" t="s">
        <v>281</v>
      </c>
      <c r="B48" s="3" t="s">
        <v>282</v>
      </c>
      <c r="D48" s="13"/>
    </row>
    <row r="49" customFormat="false" ht="15.75" hidden="false" customHeight="true" outlineLevel="0" collapsed="false">
      <c r="A49" s="3" t="s">
        <v>283</v>
      </c>
      <c r="B49" s="3" t="s">
        <v>284</v>
      </c>
      <c r="D49" s="13"/>
    </row>
    <row r="50" customFormat="false" ht="15.75" hidden="false" customHeight="true" outlineLevel="0" collapsed="false">
      <c r="A50" s="3" t="s">
        <v>285</v>
      </c>
      <c r="B50" s="3" t="s">
        <v>286</v>
      </c>
      <c r="D50" s="13"/>
    </row>
    <row r="51" customFormat="false" ht="15.75" hidden="false" customHeight="true" outlineLevel="0" collapsed="false">
      <c r="A51" s="3" t="s">
        <v>176</v>
      </c>
      <c r="B51" s="3" t="s">
        <v>287</v>
      </c>
      <c r="D51" s="13"/>
    </row>
    <row r="52" customFormat="false" ht="15.75" hidden="false" customHeight="true" outlineLevel="0" collapsed="false">
      <c r="A52" s="3" t="s">
        <v>180</v>
      </c>
      <c r="B52" s="3" t="s">
        <v>288</v>
      </c>
      <c r="D52" s="13"/>
    </row>
    <row r="53" customFormat="false" ht="15.75" hidden="false" customHeight="true" outlineLevel="0" collapsed="false">
      <c r="A53" s="3" t="s">
        <v>156</v>
      </c>
      <c r="B53" s="3" t="s">
        <v>289</v>
      </c>
      <c r="D53" s="13"/>
    </row>
    <row r="54" customFormat="false" ht="15.75" hidden="false" customHeight="true" outlineLevel="0" collapsed="false">
      <c r="A54" s="3" t="s">
        <v>151</v>
      </c>
      <c r="B54" s="3" t="s">
        <v>290</v>
      </c>
      <c r="D54" s="13"/>
    </row>
    <row r="55" customFormat="false" ht="15.75" hidden="false" customHeight="true" outlineLevel="0" collapsed="false">
      <c r="A55" s="3" t="s">
        <v>181</v>
      </c>
      <c r="B55" s="3" t="s">
        <v>291</v>
      </c>
      <c r="D55" s="13"/>
    </row>
    <row r="56" customFormat="false" ht="15.75" hidden="false" customHeight="true" outlineLevel="0" collapsed="false">
      <c r="A56" s="3" t="s">
        <v>182</v>
      </c>
      <c r="B56" s="3" t="s">
        <v>292</v>
      </c>
      <c r="D56" s="13"/>
    </row>
    <row r="57" customFormat="false" ht="15.75" hidden="false" customHeight="true" outlineLevel="0" collapsed="false">
      <c r="A57" s="3" t="s">
        <v>183</v>
      </c>
      <c r="B57" s="3" t="s">
        <v>293</v>
      </c>
      <c r="D57" s="13"/>
    </row>
    <row r="58" customFormat="false" ht="15.75" hidden="false" customHeight="true" outlineLevel="0" collapsed="false">
      <c r="A58" s="3" t="s">
        <v>184</v>
      </c>
      <c r="B58" s="3" t="s">
        <v>294</v>
      </c>
      <c r="D58" s="13"/>
    </row>
    <row r="59" customFormat="false" ht="15.75" hidden="false" customHeight="true" outlineLevel="0" collapsed="false">
      <c r="A59" s="10" t="s">
        <v>295</v>
      </c>
      <c r="B59" s="10" t="n">
        <v>0</v>
      </c>
      <c r="D59" s="10" t="s">
        <v>296</v>
      </c>
    </row>
    <row r="60" customFormat="false" ht="15.75" hidden="false" customHeight="true" outlineLevel="0" collapsed="false">
      <c r="A60" s="10" t="s">
        <v>297</v>
      </c>
      <c r="B60" s="10" t="n">
        <v>0</v>
      </c>
      <c r="D60" s="10" t="s">
        <v>296</v>
      </c>
    </row>
    <row r="61" customFormat="false" ht="15.75" hidden="false" customHeight="true" outlineLevel="0" collapsed="false">
      <c r="A61" s="10" t="s">
        <v>298</v>
      </c>
      <c r="B61" s="10" t="n">
        <v>0</v>
      </c>
      <c r="D61" s="10" t="s">
        <v>296</v>
      </c>
    </row>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mergeCells count="2">
    <mergeCell ref="D2:D41"/>
    <mergeCell ref="D43:D58"/>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L3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42.71"/>
    <col collapsed="false" customWidth="true" hidden="false" outlineLevel="0" max="2" min="2" style="0" width="30.43"/>
    <col collapsed="false" customWidth="true" hidden="false" outlineLevel="0" max="3" min="3" style="0" width="19.86"/>
    <col collapsed="false" customWidth="true" hidden="false" outlineLevel="0" max="4" min="4" style="0" width="28.3"/>
    <col collapsed="false" customWidth="true" hidden="false" outlineLevel="0" max="5" min="5" style="0" width="14.43"/>
    <col collapsed="false" customWidth="true" hidden="false" outlineLevel="0" max="6" min="6" style="0" width="26.71"/>
    <col collapsed="false" customWidth="true" hidden="false" outlineLevel="0" max="7" min="7" style="0" width="14.43"/>
    <col collapsed="false" customWidth="true" hidden="false" outlineLevel="0" max="8" min="8" style="0" width="40.42"/>
    <col collapsed="false" customWidth="true" hidden="false" outlineLevel="0" max="9" min="9" style="0" width="115.14"/>
    <col collapsed="false" customWidth="true" hidden="false" outlineLevel="0" max="1025" min="10" style="0" width="14.43"/>
  </cols>
  <sheetData>
    <row r="1" customFormat="false" ht="15" hidden="false" customHeight="false" outlineLevel="0" collapsed="false">
      <c r="A1" s="1" t="s">
        <v>0</v>
      </c>
      <c r="B1" s="1" t="s">
        <v>299</v>
      </c>
      <c r="C1" s="2" t="s">
        <v>2</v>
      </c>
      <c r="D1" s="1" t="s">
        <v>300</v>
      </c>
      <c r="E1" s="2" t="s">
        <v>2</v>
      </c>
      <c r="F1" s="1" t="s">
        <v>301</v>
      </c>
      <c r="G1" s="2" t="s">
        <v>2</v>
      </c>
      <c r="H1" s="1" t="s">
        <v>3</v>
      </c>
      <c r="I1" s="1" t="s">
        <v>4</v>
      </c>
      <c r="J1" s="1" t="s">
        <v>5</v>
      </c>
      <c r="K1" s="1" t="s">
        <v>6</v>
      </c>
      <c r="L1" s="1" t="s">
        <v>7</v>
      </c>
    </row>
    <row r="2" customFormat="false" ht="15" hidden="false" customHeight="true" outlineLevel="0" collapsed="false">
      <c r="A2" s="3" t="s">
        <v>200</v>
      </c>
      <c r="B2" s="3" t="n">
        <v>0</v>
      </c>
      <c r="C2" s="3" t="n">
        <v>0</v>
      </c>
      <c r="D2" s="3" t="n">
        <v>0</v>
      </c>
      <c r="E2" s="3" t="n">
        <v>0</v>
      </c>
      <c r="H2" s="4" t="s">
        <v>302</v>
      </c>
      <c r="I2" s="14" t="s">
        <v>303</v>
      </c>
      <c r="J2" s="14" t="s">
        <v>304</v>
      </c>
      <c r="K2" s="3" t="n">
        <v>0</v>
      </c>
    </row>
    <row r="3" customFormat="false" ht="15" hidden="false" customHeight="false" outlineLevel="0" collapsed="false">
      <c r="A3" s="3" t="s">
        <v>305</v>
      </c>
      <c r="B3" s="3" t="n">
        <f aca="false">291/1496*198/443*L3</f>
        <v>0</v>
      </c>
      <c r="C3" s="10" t="n">
        <f aca="false">291/1496*4.7/100*L3</f>
        <v>0</v>
      </c>
      <c r="D3" s="10" t="n">
        <f aca="false">291/1496*68/381*L3</f>
        <v>0</v>
      </c>
      <c r="E3" s="3" t="n">
        <f aca="false">291/1496*3.5/100*L3</f>
        <v>0</v>
      </c>
      <c r="H3" s="4"/>
      <c r="I3" s="4"/>
      <c r="J3" s="4"/>
      <c r="K3" s="3" t="n">
        <v>1</v>
      </c>
    </row>
    <row r="4" customFormat="false" ht="15" hidden="false" customHeight="false" outlineLevel="0" collapsed="false">
      <c r="A4" s="3" t="s">
        <v>306</v>
      </c>
      <c r="B4" s="10" t="n">
        <f aca="false">291/1496*63/146*L4</f>
        <v>0</v>
      </c>
      <c r="C4" s="10" t="n">
        <f aca="false">291/1496*6.4/100*L4</f>
        <v>0</v>
      </c>
      <c r="D4" s="3" t="n">
        <f aca="false">291/1496*44/141*L4</f>
        <v>0</v>
      </c>
      <c r="E4" s="3" t="n">
        <f aca="false">291/1496*4.7/100*L4</f>
        <v>0</v>
      </c>
      <c r="H4" s="4"/>
      <c r="I4" s="4"/>
      <c r="J4" s="4"/>
      <c r="K4" s="3" t="n">
        <v>1</v>
      </c>
    </row>
    <row r="5" customFormat="false" ht="15" hidden="false" customHeight="false" outlineLevel="0" collapsed="false">
      <c r="A5" s="3" t="s">
        <v>307</v>
      </c>
      <c r="B5" s="10" t="n">
        <f aca="false">291/1496*136/331*L5</f>
        <v>0</v>
      </c>
      <c r="C5" s="10" t="n">
        <f aca="false">291/1496*11.3/100*L5</f>
        <v>0</v>
      </c>
      <c r="D5" s="10" t="n">
        <f aca="false">291/1496*86/275*L5</f>
        <v>0</v>
      </c>
      <c r="E5" s="3" t="n">
        <f aca="false">291/1496*5.7/100*L5</f>
        <v>0</v>
      </c>
      <c r="H5" s="4"/>
      <c r="I5" s="4"/>
      <c r="J5" s="4"/>
      <c r="K5" s="3" t="n">
        <v>1</v>
      </c>
    </row>
    <row r="6" customFormat="false" ht="15" hidden="false" customHeight="false" outlineLevel="0" collapsed="false">
      <c r="A6" s="3" t="s">
        <v>308</v>
      </c>
      <c r="B6" s="10" t="n">
        <f aca="false">291/1496*136/331*L6</f>
        <v>0</v>
      </c>
      <c r="C6" s="10" t="n">
        <f aca="false">291/1496*11.3/100*L6</f>
        <v>0</v>
      </c>
      <c r="D6" s="10" t="n">
        <f aca="false">291/1496*86/275*L6</f>
        <v>0</v>
      </c>
      <c r="E6" s="3" t="n">
        <f aca="false">291/1496*5.7/100*L6</f>
        <v>0</v>
      </c>
      <c r="H6" s="4"/>
      <c r="I6" s="4"/>
      <c r="J6" s="4"/>
      <c r="K6" s="3" t="n">
        <v>1</v>
      </c>
    </row>
    <row r="7" customFormat="false" ht="15" hidden="false" customHeight="false" outlineLevel="0" collapsed="false">
      <c r="A7" s="3" t="s">
        <v>225</v>
      </c>
      <c r="B7" s="3" t="n">
        <v>0</v>
      </c>
      <c r="C7" s="3" t="n">
        <v>0</v>
      </c>
      <c r="D7" s="3" t="n">
        <v>0</v>
      </c>
      <c r="E7" s="3" t="n">
        <v>0</v>
      </c>
      <c r="H7" s="4"/>
      <c r="I7" s="4"/>
      <c r="J7" s="4"/>
      <c r="K7" s="3" t="n">
        <v>0</v>
      </c>
    </row>
    <row r="8" customFormat="false" ht="15" hidden="false" customHeight="false" outlineLevel="0" collapsed="false">
      <c r="A8" s="3" t="s">
        <v>309</v>
      </c>
      <c r="B8" s="3" t="n">
        <f aca="false">291/1496*198/443*L8</f>
        <v>0</v>
      </c>
      <c r="C8" s="10" t="n">
        <f aca="false">291/1496*4.7/100*L8</f>
        <v>0</v>
      </c>
      <c r="D8" s="10" t="n">
        <f aca="false">291/1496*68/381*L8</f>
        <v>0</v>
      </c>
      <c r="E8" s="3" t="n">
        <f aca="false">291/1496*3.5/100*L8</f>
        <v>0</v>
      </c>
      <c r="H8" s="4"/>
      <c r="I8" s="4"/>
      <c r="J8" s="4"/>
      <c r="K8" s="3" t="n">
        <v>1</v>
      </c>
    </row>
    <row r="9" customFormat="false" ht="15" hidden="false" customHeight="false" outlineLevel="0" collapsed="false">
      <c r="A9" s="3" t="s">
        <v>310</v>
      </c>
      <c r="B9" s="10" t="n">
        <f aca="false">291/1496*63/146*L9</f>
        <v>0</v>
      </c>
      <c r="C9" s="10" t="n">
        <f aca="false">291/1496*6.4/100*L9</f>
        <v>0</v>
      </c>
      <c r="D9" s="3" t="n">
        <f aca="false">291/1496*44/141*L9</f>
        <v>0</v>
      </c>
      <c r="E9" s="3" t="n">
        <f aca="false">291/1496*4.7/100*L9</f>
        <v>0</v>
      </c>
      <c r="H9" s="4"/>
      <c r="I9" s="4"/>
      <c r="J9" s="4"/>
      <c r="K9" s="3" t="n">
        <v>1</v>
      </c>
    </row>
    <row r="10" customFormat="false" ht="15" hidden="false" customHeight="false" outlineLevel="0" collapsed="false">
      <c r="A10" s="3" t="s">
        <v>311</v>
      </c>
      <c r="B10" s="10" t="n">
        <f aca="false">291/1496*136/331*L10</f>
        <v>0</v>
      </c>
      <c r="C10" s="10" t="n">
        <f aca="false">291/1496*11.3/100*L10</f>
        <v>0</v>
      </c>
      <c r="D10" s="10" t="n">
        <f aca="false">291/1496*86/275*L10</f>
        <v>0</v>
      </c>
      <c r="E10" s="3" t="n">
        <f aca="false">291/1496*5.7/100*L10</f>
        <v>0</v>
      </c>
      <c r="H10" s="4"/>
      <c r="I10" s="4"/>
      <c r="J10" s="4"/>
      <c r="K10" s="3" t="n">
        <v>1</v>
      </c>
    </row>
    <row r="11" customFormat="false" ht="15" hidden="false" customHeight="false" outlineLevel="0" collapsed="false">
      <c r="A11" s="9" t="s">
        <v>312</v>
      </c>
      <c r="B11" s="10" t="n">
        <f aca="false">291/1496*136/331*L11</f>
        <v>0</v>
      </c>
      <c r="C11" s="10" t="n">
        <f aca="false">291/1496*11.3/100*L11</f>
        <v>0</v>
      </c>
      <c r="D11" s="10" t="n">
        <f aca="false">291/1496*86/275*L11</f>
        <v>0</v>
      </c>
      <c r="E11" s="3" t="n">
        <f aca="false">291/1496*5.7/100*L11</f>
        <v>0</v>
      </c>
      <c r="H11" s="4"/>
      <c r="I11" s="4"/>
      <c r="J11" s="4"/>
      <c r="K11" s="3" t="n">
        <v>1</v>
      </c>
    </row>
    <row r="12" customFormat="false" ht="15" hidden="false" customHeight="true" outlineLevel="0" collapsed="false">
      <c r="A12" s="3" t="s">
        <v>8</v>
      </c>
      <c r="B12" s="3" t="n">
        <f aca="false">(238+50)/2</f>
        <v>144</v>
      </c>
      <c r="C12" s="3" t="n">
        <f aca="false">(168 +50)/2*SQRT(11)</f>
        <v>361.5121021</v>
      </c>
      <c r="D12" s="3" t="n">
        <f aca="false">(84+0)/2</f>
        <v>42</v>
      </c>
      <c r="E12" s="3" t="n">
        <f aca="false">(55+0)*SQRT(11)/2</f>
        <v>91.20718173</v>
      </c>
      <c r="F12" s="3" t="n">
        <f aca="false">(85+261)/2</f>
        <v>173</v>
      </c>
      <c r="G12" s="3" t="n">
        <f aca="false">(43+142)*SQRT(11) /2</f>
        <v>306.7877931</v>
      </c>
      <c r="H12" s="4" t="s">
        <v>313</v>
      </c>
      <c r="I12" s="4" t="s">
        <v>10</v>
      </c>
      <c r="J12" s="14" t="s">
        <v>11</v>
      </c>
      <c r="K12" s="3" t="n">
        <v>0</v>
      </c>
    </row>
    <row r="13" customFormat="false" ht="15" hidden="false" customHeight="false" outlineLevel="0" collapsed="false">
      <c r="A13" s="3" t="s">
        <v>12</v>
      </c>
      <c r="B13" s="3" t="n">
        <f aca="false">(475+2921)/2</f>
        <v>1698</v>
      </c>
      <c r="C13" s="3" t="n">
        <f aca="false">(283+943)/2*SQRT(11)</f>
        <v>2033.090996</v>
      </c>
      <c r="D13" s="3" t="n">
        <f aca="false">(194+1046)/2</f>
        <v>620</v>
      </c>
      <c r="E13" s="3" t="n">
        <f aca="false">(90+329)*SQRT(11)/2</f>
        <v>694.8328936</v>
      </c>
      <c r="F13" s="3" t="n">
        <f aca="false">(3089+3592)/2</f>
        <v>3340.5</v>
      </c>
      <c r="G13" s="3" t="n">
        <f aca="false">(419+598)/2*SQRT(11)</f>
        <v>1686.503706</v>
      </c>
      <c r="H13" s="4"/>
      <c r="I13" s="4"/>
      <c r="J13" s="4"/>
      <c r="K13" s="3" t="n">
        <v>0</v>
      </c>
    </row>
    <row r="14" customFormat="false" ht="15" hidden="false" customHeight="false" outlineLevel="0" collapsed="false">
      <c r="A14" s="3" t="s">
        <v>13</v>
      </c>
      <c r="B14" s="3" t="n">
        <v>4723</v>
      </c>
      <c r="C14" s="3" t="n">
        <f aca="false">317*SQRT(11)</f>
        <v>1051.370059</v>
      </c>
      <c r="D14" s="3" t="n">
        <v>6143</v>
      </c>
      <c r="E14" s="3" t="n">
        <f aca="false">912*SQRT(11)</f>
        <v>3024.761809</v>
      </c>
      <c r="F14" s="3" t="n">
        <v>1246</v>
      </c>
      <c r="G14" s="3" t="n">
        <f aca="false">247*SQRT(11)</f>
        <v>819.2063232</v>
      </c>
      <c r="H14" s="4"/>
      <c r="I14" s="4"/>
      <c r="J14" s="4"/>
      <c r="K14" s="3" t="n">
        <v>0</v>
      </c>
    </row>
    <row r="15" customFormat="false" ht="15" hidden="false" customHeight="false" outlineLevel="0" collapsed="false">
      <c r="A15" s="3" t="s">
        <v>14</v>
      </c>
      <c r="B15" s="3" t="n">
        <v>2277</v>
      </c>
      <c r="C15" s="3" t="n">
        <f aca="false">646*SQRT(11)</f>
        <v>2142.539615</v>
      </c>
      <c r="D15" s="3" t="n">
        <v>11262</v>
      </c>
      <c r="E15" s="3" t="n">
        <f aca="false">587*SQRT(11)</f>
        <v>1946.858752</v>
      </c>
      <c r="F15" s="3" t="n">
        <v>704</v>
      </c>
      <c r="G15" s="3" t="n">
        <f aca="false">132*SQRT(11)</f>
        <v>437.7944723</v>
      </c>
      <c r="H15" s="4"/>
      <c r="I15" s="4"/>
      <c r="J15" s="4"/>
      <c r="K15" s="3" t="n">
        <v>0</v>
      </c>
    </row>
    <row r="16" customFormat="false" ht="15" hidden="false" customHeight="false" outlineLevel="0" collapsed="false">
      <c r="A16" s="3" t="s">
        <v>32</v>
      </c>
      <c r="B16" s="3" t="n">
        <v>20237</v>
      </c>
      <c r="C16" s="3" t="n">
        <v>992</v>
      </c>
      <c r="H16" s="5" t="s">
        <v>314</v>
      </c>
      <c r="I16" s="3" t="s">
        <v>34</v>
      </c>
      <c r="J16" s="3" t="s">
        <v>35</v>
      </c>
      <c r="K16" s="3" t="n">
        <v>0</v>
      </c>
    </row>
    <row r="17" customFormat="false" ht="15" hidden="false" customHeight="true" outlineLevel="0" collapsed="false">
      <c r="A17" s="3" t="s">
        <v>36</v>
      </c>
      <c r="B17" s="3" t="n">
        <f aca="false">2.8*1000/1.95</f>
        <v>1435.897436</v>
      </c>
      <c r="C17" s="3" t="n">
        <f aca="false">0.9*1000/1.95</f>
        <v>461.5384615</v>
      </c>
      <c r="D17" s="3"/>
      <c r="E17" s="3"/>
      <c r="F17" s="3"/>
      <c r="G17" s="3"/>
      <c r="H17" s="4" t="s">
        <v>37</v>
      </c>
      <c r="I17" s="4" t="s">
        <v>38</v>
      </c>
      <c r="J17" s="4" t="s">
        <v>39</v>
      </c>
      <c r="K17" s="3" t="n">
        <v>0</v>
      </c>
    </row>
    <row r="18" customFormat="false" ht="15" hidden="false" customHeight="false" outlineLevel="0" collapsed="false">
      <c r="A18" s="3" t="s">
        <v>40</v>
      </c>
      <c r="B18" s="3" t="n">
        <f aca="false">13*1000/1.41</f>
        <v>9219.858156</v>
      </c>
      <c r="C18" s="3" t="n">
        <f aca="false">4.4*1000/1.41</f>
        <v>3120.567376</v>
      </c>
      <c r="D18" s="3"/>
      <c r="E18" s="3"/>
      <c r="F18" s="3"/>
      <c r="G18" s="3"/>
      <c r="H18" s="4"/>
      <c r="I18" s="4"/>
      <c r="J18" s="4"/>
      <c r="K18" s="3" t="n">
        <v>0</v>
      </c>
    </row>
    <row r="19" customFormat="false" ht="15" hidden="false" customHeight="false" outlineLevel="0" collapsed="false">
      <c r="A19" s="3" t="s">
        <v>41</v>
      </c>
      <c r="B19" s="3" t="n">
        <v>0</v>
      </c>
      <c r="C19" s="3" t="n">
        <v>0</v>
      </c>
      <c r="D19" s="3"/>
      <c r="E19" s="3"/>
      <c r="F19" s="3"/>
      <c r="G19" s="3"/>
      <c r="H19" s="4"/>
      <c r="I19" s="4"/>
      <c r="J19" s="4"/>
      <c r="K19" s="3" t="n">
        <v>0</v>
      </c>
    </row>
    <row r="20" customFormat="false" ht="15" hidden="false" customHeight="false" outlineLevel="0" collapsed="false">
      <c r="A20" s="3" t="s">
        <v>42</v>
      </c>
      <c r="B20" s="3" t="n">
        <v>0</v>
      </c>
      <c r="C20" s="3" t="n">
        <v>0</v>
      </c>
      <c r="D20" s="3"/>
      <c r="E20" s="3"/>
      <c r="F20" s="3"/>
      <c r="G20" s="3"/>
      <c r="H20" s="4"/>
      <c r="I20" s="4"/>
      <c r="J20" s="4"/>
      <c r="K20" s="3" t="n">
        <v>0</v>
      </c>
    </row>
    <row r="21" customFormat="false" ht="15" hidden="false" customHeight="false" outlineLevel="0" collapsed="false">
      <c r="A21" s="3" t="s">
        <v>43</v>
      </c>
      <c r="B21" s="3" t="n">
        <f aca="false">1.7*1000/2.16</f>
        <v>787.037037</v>
      </c>
      <c r="C21" s="3" t="n">
        <f aca="false">0.9*1000/2.16</f>
        <v>416.6666667</v>
      </c>
      <c r="D21" s="3"/>
      <c r="E21" s="3"/>
      <c r="F21" s="3"/>
      <c r="G21" s="3"/>
      <c r="H21" s="4"/>
      <c r="I21" s="4"/>
      <c r="J21" s="4"/>
      <c r="K21" s="3" t="n">
        <v>0</v>
      </c>
    </row>
    <row r="22" customFormat="false" ht="15" hidden="false" customHeight="false" outlineLevel="0" collapsed="false">
      <c r="A22" s="3" t="s">
        <v>44</v>
      </c>
      <c r="B22" s="3" t="n">
        <f aca="false">17.5*1000/7.53</f>
        <v>2324.037185</v>
      </c>
      <c r="C22" s="3" t="n">
        <f aca="false">2.9*1000/7.53</f>
        <v>385.126162</v>
      </c>
      <c r="D22" s="3"/>
      <c r="E22" s="3"/>
      <c r="F22" s="3"/>
      <c r="G22" s="3"/>
      <c r="H22" s="4"/>
      <c r="I22" s="4"/>
      <c r="J22" s="4"/>
      <c r="K22" s="3" t="n">
        <v>0</v>
      </c>
    </row>
    <row r="23" customFormat="false" ht="15" hidden="false" customHeight="true" outlineLevel="0" collapsed="false">
      <c r="A23" s="3" t="s">
        <v>45</v>
      </c>
      <c r="B23" s="3" t="n">
        <f aca="false">40*171.6</f>
        <v>6864</v>
      </c>
      <c r="C23" s="3" t="n">
        <f aca="false">40*26.2</f>
        <v>1048</v>
      </c>
      <c r="D23" s="3" t="n">
        <f aca="false">40*85</f>
        <v>3400</v>
      </c>
      <c r="E23" s="3" t="n">
        <f aca="false">40*12.1</f>
        <v>484</v>
      </c>
      <c r="F23" s="3" t="n">
        <f aca="false">40*32.5</f>
        <v>1300</v>
      </c>
      <c r="G23" s="3" t="n">
        <f aca="false">40*1.8</f>
        <v>72</v>
      </c>
      <c r="H23" s="4" t="s">
        <v>46</v>
      </c>
      <c r="I23" s="4" t="s">
        <v>47</v>
      </c>
      <c r="J23" s="4" t="s">
        <v>48</v>
      </c>
      <c r="K23" s="15" t="n">
        <v>0</v>
      </c>
    </row>
    <row r="24" customFormat="false" ht="15" hidden="false" customHeight="false" outlineLevel="0" collapsed="false">
      <c r="A24" s="3" t="s">
        <v>49</v>
      </c>
      <c r="B24" s="3" t="n">
        <v>0</v>
      </c>
      <c r="C24" s="3" t="n">
        <v>0</v>
      </c>
      <c r="D24" s="3" t="n">
        <f aca="false">40*4.9</f>
        <v>196</v>
      </c>
      <c r="E24" s="3" t="n">
        <f aca="false">40*4.6</f>
        <v>184</v>
      </c>
      <c r="F24" s="3" t="n">
        <f aca="false">40*22.4</f>
        <v>896</v>
      </c>
      <c r="G24" s="3" t="n">
        <f aca="false">40*6.9</f>
        <v>276</v>
      </c>
      <c r="H24" s="4"/>
      <c r="I24" s="4"/>
      <c r="J24" s="4"/>
      <c r="K24" s="15" t="n">
        <v>0</v>
      </c>
    </row>
    <row r="25" customFormat="false" ht="15" hidden="false" customHeight="false" outlineLevel="0" collapsed="false">
      <c r="A25" s="3" t="s">
        <v>50</v>
      </c>
      <c r="B25" s="3" t="n">
        <f aca="false">40*215</f>
        <v>8600</v>
      </c>
      <c r="C25" s="3" t="n">
        <f aca="false">40*45.2</f>
        <v>1808</v>
      </c>
      <c r="D25" s="3" t="n">
        <f aca="false">40*58.2</f>
        <v>2328</v>
      </c>
      <c r="E25" s="3" t="n">
        <f aca="false">40*15</f>
        <v>600</v>
      </c>
      <c r="F25" s="3" t="n">
        <f aca="false">40*62.1</f>
        <v>2484</v>
      </c>
      <c r="G25" s="3" t="n">
        <f aca="false">40*11.2</f>
        <v>448</v>
      </c>
      <c r="H25" s="4"/>
      <c r="I25" s="4"/>
      <c r="J25" s="4"/>
      <c r="K25" s="15" t="n">
        <v>0</v>
      </c>
    </row>
    <row r="26" customFormat="false" ht="15" hidden="false" customHeight="false" outlineLevel="0" collapsed="false">
      <c r="A26" s="3" t="s">
        <v>51</v>
      </c>
      <c r="B26" s="3" t="n">
        <f aca="false">40*242.6</f>
        <v>9704</v>
      </c>
      <c r="C26" s="3" t="n">
        <f aca="false">40*1.9</f>
        <v>76</v>
      </c>
      <c r="D26" s="3" t="n">
        <f aca="false">40*76.9</f>
        <v>3076</v>
      </c>
      <c r="E26" s="3" t="n">
        <f aca="false">40*22.8</f>
        <v>912</v>
      </c>
      <c r="F26" s="3" t="n">
        <f aca="false">40*25.5</f>
        <v>1020</v>
      </c>
      <c r="G26" s="3" t="n">
        <f aca="false">40*20.7</f>
        <v>828</v>
      </c>
      <c r="H26" s="4"/>
      <c r="I26" s="4"/>
      <c r="J26" s="4"/>
      <c r="K26" s="15" t="n">
        <v>0</v>
      </c>
    </row>
    <row r="27" customFormat="false" ht="15" hidden="false" customHeight="false" outlineLevel="0" collapsed="false">
      <c r="A27" s="3" t="s">
        <v>52</v>
      </c>
      <c r="B27" s="3" t="n">
        <f aca="false">40*226.6</f>
        <v>9064</v>
      </c>
      <c r="C27" s="3" t="n">
        <f aca="false">40*54.4</f>
        <v>2176</v>
      </c>
      <c r="D27" s="3" t="n">
        <f aca="false">40*130</f>
        <v>5200</v>
      </c>
      <c r="E27" s="3" t="n">
        <f aca="false">40*23.3</f>
        <v>932</v>
      </c>
      <c r="F27" s="3" t="n">
        <f aca="false">40*23.4</f>
        <v>936</v>
      </c>
      <c r="G27" s="3" t="n">
        <f aca="false">40*3.7</f>
        <v>148</v>
      </c>
      <c r="H27" s="4"/>
      <c r="I27" s="4"/>
      <c r="J27" s="4"/>
      <c r="K27" s="15" t="n">
        <v>0</v>
      </c>
    </row>
    <row r="28" customFormat="false" ht="15" hidden="false" customHeight="false" outlineLevel="0" collapsed="false">
      <c r="A28" s="3" t="s">
        <v>53</v>
      </c>
      <c r="B28" s="3" t="n">
        <f aca="false">40*154.8</f>
        <v>6192</v>
      </c>
      <c r="C28" s="3" t="n">
        <f aca="false">40*20.9</f>
        <v>836</v>
      </c>
      <c r="D28" s="3" t="n">
        <f aca="false">40*124.6</f>
        <v>4984</v>
      </c>
      <c r="E28" s="3" t="n">
        <f aca="false">40*16.2</f>
        <v>648</v>
      </c>
      <c r="F28" s="3" t="n">
        <f aca="false">40*29.8</f>
        <v>1192</v>
      </c>
      <c r="G28" s="3" t="n">
        <f aca="false">40*8.6</f>
        <v>344</v>
      </c>
      <c r="H28" s="4"/>
      <c r="I28" s="4"/>
      <c r="J28" s="4"/>
      <c r="K28" s="15" t="n">
        <v>0</v>
      </c>
    </row>
    <row r="29" customFormat="false" ht="15" hidden="false" customHeight="false" outlineLevel="0" collapsed="false">
      <c r="A29" s="3" t="s">
        <v>54</v>
      </c>
      <c r="B29" s="3" t="n">
        <f aca="false">40*154.8</f>
        <v>6192</v>
      </c>
      <c r="C29" s="3" t="n">
        <f aca="false">40*20.9</f>
        <v>836</v>
      </c>
      <c r="D29" s="3" t="n">
        <f aca="false">40*124.6</f>
        <v>4984</v>
      </c>
      <c r="E29" s="3" t="n">
        <f aca="false">40*16.2</f>
        <v>648</v>
      </c>
      <c r="F29" s="3" t="n">
        <f aca="false">40*29.8</f>
        <v>1192</v>
      </c>
      <c r="G29" s="3" t="n">
        <f aca="false">40*8.6</f>
        <v>344</v>
      </c>
      <c r="H29" s="4"/>
      <c r="I29" s="4"/>
      <c r="J29" s="4"/>
      <c r="K29" s="15" t="n">
        <v>0</v>
      </c>
    </row>
    <row r="30" customFormat="false" ht="15" hidden="false" customHeight="false" outlineLevel="0" collapsed="false">
      <c r="A30" s="3" t="s">
        <v>55</v>
      </c>
      <c r="B30" s="3" t="n">
        <f aca="false">40*204.7</f>
        <v>8188</v>
      </c>
      <c r="C30" s="3" t="n">
        <f aca="false">40*33.7</f>
        <v>1348</v>
      </c>
      <c r="D30" s="3" t="n">
        <f aca="false">40*88.8</f>
        <v>3552</v>
      </c>
      <c r="E30" s="3" t="n">
        <f aca="false">40*5.7</f>
        <v>228</v>
      </c>
      <c r="F30" s="3" t="n">
        <f aca="false">40*37.9</f>
        <v>1516</v>
      </c>
      <c r="G30" s="3" t="n">
        <f aca="false">40*9.2</f>
        <v>368</v>
      </c>
      <c r="H30" s="4"/>
      <c r="I30" s="4"/>
      <c r="J30" s="4"/>
      <c r="K30" s="15" t="n">
        <v>0</v>
      </c>
    </row>
    <row r="31" customFormat="false" ht="15" hidden="false" customHeight="false" outlineLevel="0" collapsed="false">
      <c r="A31" s="3" t="s">
        <v>56</v>
      </c>
      <c r="B31" s="3" t="n">
        <v>0</v>
      </c>
      <c r="C31" s="3" t="n">
        <v>0</v>
      </c>
      <c r="D31" s="3" t="n">
        <f aca="false">40*10.7</f>
        <v>428</v>
      </c>
      <c r="E31" s="3" t="n">
        <f aca="false">40*18.6</f>
        <v>744</v>
      </c>
      <c r="F31" s="3" t="n">
        <f aca="false">40*33.4</f>
        <v>1336</v>
      </c>
      <c r="G31" s="3" t="n">
        <f aca="false">40*3.8</f>
        <v>152</v>
      </c>
      <c r="H31" s="4"/>
      <c r="I31" s="4"/>
      <c r="J31" s="4"/>
      <c r="K31" s="15" t="n">
        <v>0</v>
      </c>
    </row>
    <row r="32" customFormat="false" ht="15" hidden="false" customHeight="false" outlineLevel="0" collapsed="false">
      <c r="A32" s="3" t="s">
        <v>57</v>
      </c>
      <c r="B32" s="3" t="n">
        <f aca="false">40*179.5</f>
        <v>7180</v>
      </c>
      <c r="C32" s="3" t="n">
        <f aca="false">40*51.1</f>
        <v>2044</v>
      </c>
      <c r="D32" s="3" t="n">
        <f aca="false">40*67.1</f>
        <v>2684</v>
      </c>
      <c r="E32" s="3" t="n">
        <f aca="false">40*7</f>
        <v>280</v>
      </c>
      <c r="F32" s="3" t="n">
        <f aca="false">40*87.6</f>
        <v>3504</v>
      </c>
      <c r="G32" s="3" t="n">
        <f aca="false">40*26.3</f>
        <v>1052</v>
      </c>
      <c r="H32" s="4"/>
      <c r="I32" s="4"/>
      <c r="J32" s="4"/>
      <c r="K32" s="15" t="n">
        <v>0</v>
      </c>
    </row>
    <row r="33" customFormat="false" ht="15" hidden="false" customHeight="false" outlineLevel="0" collapsed="false">
      <c r="A33" s="3" t="s">
        <v>58</v>
      </c>
      <c r="B33" s="3" t="n">
        <f aca="false">40*295.8</f>
        <v>11832</v>
      </c>
      <c r="C33" s="3" t="n">
        <f aca="false">40*69.6</f>
        <v>2784</v>
      </c>
      <c r="D33" s="3" t="n">
        <f aca="false">40*115.2</f>
        <v>4608</v>
      </c>
      <c r="E33" s="3" t="n">
        <f aca="false">40*29.3</f>
        <v>1172</v>
      </c>
      <c r="F33" s="3" t="n">
        <f aca="false">40*19.7</f>
        <v>788</v>
      </c>
      <c r="G33" s="3" t="n">
        <f aca="false">40*9.4</f>
        <v>376</v>
      </c>
      <c r="H33" s="4"/>
      <c r="I33" s="4"/>
      <c r="J33" s="4"/>
      <c r="K33" s="15" t="n">
        <v>0</v>
      </c>
    </row>
    <row r="34" customFormat="false" ht="15" hidden="false" customHeight="false" outlineLevel="0" collapsed="false">
      <c r="A34" s="3" t="s">
        <v>59</v>
      </c>
      <c r="B34" s="3" t="n">
        <f aca="false">40*342.1</f>
        <v>13684</v>
      </c>
      <c r="C34" s="3" t="n">
        <f aca="false">40*14.1</f>
        <v>564</v>
      </c>
      <c r="D34" s="3" t="n">
        <f aca="false">40*120.8</f>
        <v>4832</v>
      </c>
      <c r="E34" s="3" t="n">
        <f aca="false">40*38.7</f>
        <v>1548</v>
      </c>
      <c r="F34" s="3" t="n">
        <f aca="false">40*21.4</f>
        <v>856</v>
      </c>
      <c r="G34" s="3" t="n">
        <f aca="false">40*12</f>
        <v>480</v>
      </c>
      <c r="H34" s="4"/>
      <c r="I34" s="4"/>
      <c r="J34" s="4"/>
      <c r="K34" s="15" t="n">
        <v>0</v>
      </c>
    </row>
    <row r="35" customFormat="false" ht="15" hidden="false" customHeight="false" outlineLevel="0" collapsed="false">
      <c r="A35" s="3" t="s">
        <v>60</v>
      </c>
      <c r="B35" s="3" t="n">
        <f aca="false">40*138.1</f>
        <v>5524</v>
      </c>
      <c r="C35" s="3" t="n">
        <f aca="false">40*31.5</f>
        <v>1260</v>
      </c>
      <c r="D35" s="3" t="n">
        <f aca="false">40*85.1</f>
        <v>3404</v>
      </c>
      <c r="E35" s="3" t="n">
        <f aca="false">40*14.6</f>
        <v>584</v>
      </c>
      <c r="F35" s="3" t="n">
        <f aca="false">40*28.5</f>
        <v>1140</v>
      </c>
      <c r="G35" s="3" t="n">
        <f aca="false">40*9.4</f>
        <v>376</v>
      </c>
      <c r="H35" s="4"/>
      <c r="I35" s="4"/>
      <c r="J35" s="4"/>
      <c r="K35" s="15" t="n">
        <v>0</v>
      </c>
    </row>
    <row r="36" customFormat="false" ht="15" hidden="false" customHeight="false" outlineLevel="0" collapsed="false">
      <c r="A36" s="3" t="s">
        <v>61</v>
      </c>
      <c r="B36" s="3" t="n">
        <f aca="false">40*138.1</f>
        <v>5524</v>
      </c>
      <c r="C36" s="3" t="n">
        <f aca="false">40*31.5</f>
        <v>1260</v>
      </c>
      <c r="D36" s="3" t="n">
        <f aca="false">40*85.1</f>
        <v>3404</v>
      </c>
      <c r="E36" s="3" t="n">
        <f aca="false">40*14.6</f>
        <v>584</v>
      </c>
      <c r="F36" s="3" t="n">
        <f aca="false">40*28.5</f>
        <v>1140</v>
      </c>
      <c r="G36" s="3" t="n">
        <f aca="false">40*9.4</f>
        <v>376</v>
      </c>
      <c r="H36" s="4"/>
      <c r="I36" s="4"/>
      <c r="J36" s="4"/>
      <c r="K36" s="15" t="n">
        <v>0</v>
      </c>
    </row>
    <row r="37" customFormat="false" ht="15" hidden="false" customHeight="false" outlineLevel="0" collapsed="false">
      <c r="A37" s="3" t="s">
        <v>32</v>
      </c>
      <c r="B37" s="3" t="n">
        <f aca="false">40*262.1</f>
        <v>10484</v>
      </c>
      <c r="C37" s="3" t="n">
        <f aca="false">40*3.3</f>
        <v>132</v>
      </c>
      <c r="D37" s="3" t="n">
        <f aca="false">40*109.5</f>
        <v>4380</v>
      </c>
      <c r="E37" s="3" t="n">
        <f aca="false">40*21.9</f>
        <v>876</v>
      </c>
      <c r="F37" s="3" t="n">
        <f aca="false">40*54.2</f>
        <v>2168</v>
      </c>
      <c r="G37" s="3" t="n">
        <f aca="false">40*5.8</f>
        <v>232</v>
      </c>
      <c r="H37" s="4"/>
      <c r="I37" s="4"/>
      <c r="J37" s="4"/>
      <c r="K37" s="15" t="n">
        <v>0</v>
      </c>
    </row>
    <row r="38" customFormat="false" ht="15" hidden="false" customHeight="false" outlineLevel="0" collapsed="false">
      <c r="A38" s="3" t="s">
        <v>62</v>
      </c>
      <c r="B38" s="3" t="n">
        <v>0</v>
      </c>
      <c r="C38" s="3" t="n">
        <v>0</v>
      </c>
      <c r="D38" s="3" t="n">
        <f aca="false">40*8.7</f>
        <v>348</v>
      </c>
      <c r="E38" s="3" t="n">
        <f aca="false">40*9.9</f>
        <v>396</v>
      </c>
      <c r="F38" s="3" t="n">
        <f aca="false">40*25.2</f>
        <v>1008</v>
      </c>
      <c r="G38" s="3" t="n">
        <f aca="false">40*7.3</f>
        <v>292</v>
      </c>
      <c r="H38" s="4"/>
      <c r="I38" s="4"/>
      <c r="J38" s="4"/>
      <c r="K38" s="15" t="n">
        <v>0</v>
      </c>
    </row>
    <row r="39" customFormat="false" ht="15" hidden="false" customHeight="false" outlineLevel="0" collapsed="false">
      <c r="A39" s="3" t="s">
        <v>63</v>
      </c>
      <c r="B39" s="3" t="n">
        <f aca="false">40*140.4</f>
        <v>5616</v>
      </c>
      <c r="C39" s="3" t="n">
        <f aca="false">40*11.3</f>
        <v>452</v>
      </c>
      <c r="D39" s="3" t="n">
        <f aca="false">40*53.4</f>
        <v>2136</v>
      </c>
      <c r="E39" s="3" t="n">
        <f aca="false">40*13.6</f>
        <v>544</v>
      </c>
      <c r="F39" s="3" t="n">
        <f aca="false">40*113.9</f>
        <v>4556</v>
      </c>
      <c r="G39" s="3" t="n">
        <f aca="false">40*14.7</f>
        <v>588</v>
      </c>
      <c r="H39" s="4"/>
      <c r="I39" s="4"/>
      <c r="J39" s="4"/>
      <c r="K39" s="15" t="n">
        <v>0</v>
      </c>
    </row>
    <row r="40" customFormat="false" ht="15" hidden="false" customHeight="false" outlineLevel="0" collapsed="false">
      <c r="A40" s="3" t="s">
        <v>64</v>
      </c>
      <c r="B40" s="3" t="n">
        <f aca="false">40*405.5</f>
        <v>16220</v>
      </c>
      <c r="C40" s="3" t="n">
        <f aca="false">40*6.9</f>
        <v>276</v>
      </c>
      <c r="D40" s="3" t="n">
        <f aca="false">40*169.1</f>
        <v>6764</v>
      </c>
      <c r="E40" s="3" t="n">
        <f aca="false">40*32.4</f>
        <v>1296</v>
      </c>
      <c r="F40" s="3" t="n">
        <f aca="false">40*52.1</f>
        <v>2084</v>
      </c>
      <c r="G40" s="3" t="n">
        <f aca="false">40*7.7</f>
        <v>308</v>
      </c>
      <c r="H40" s="4"/>
      <c r="I40" s="4"/>
      <c r="J40" s="4"/>
      <c r="K40" s="15" t="n">
        <v>0</v>
      </c>
    </row>
    <row r="41" customFormat="false" ht="15" hidden="false" customHeight="false" outlineLevel="0" collapsed="false">
      <c r="A41" s="3" t="s">
        <v>65</v>
      </c>
      <c r="B41" s="3" t="n">
        <f aca="false">40*399.3</f>
        <v>15972</v>
      </c>
      <c r="C41" s="3" t="n">
        <f aca="false">40*1.4</f>
        <v>56</v>
      </c>
      <c r="D41" s="3" t="n">
        <f aca="false">40*182.9</f>
        <v>7316</v>
      </c>
      <c r="E41" s="3" t="n">
        <f aca="false">40*48.2</f>
        <v>1928</v>
      </c>
      <c r="F41" s="3" t="n">
        <f aca="false">40*30.4</f>
        <v>1216</v>
      </c>
      <c r="G41" s="3" t="n">
        <f aca="false">40*3.1</f>
        <v>124</v>
      </c>
      <c r="H41" s="4"/>
      <c r="I41" s="4"/>
      <c r="J41" s="4"/>
      <c r="K41" s="15" t="n">
        <v>0</v>
      </c>
    </row>
    <row r="42" customFormat="false" ht="15" hidden="false" customHeight="false" outlineLevel="0" collapsed="false">
      <c r="A42" s="3" t="s">
        <v>66</v>
      </c>
      <c r="B42" s="3" t="n">
        <f aca="false">40*243.8</f>
        <v>9752</v>
      </c>
      <c r="C42" s="3" t="n">
        <f aca="false">40*0</f>
        <v>0</v>
      </c>
      <c r="D42" s="3" t="n">
        <f aca="false">40*97.1</f>
        <v>3884</v>
      </c>
      <c r="E42" s="3" t="n">
        <f aca="false">40*32.9</f>
        <v>1316</v>
      </c>
      <c r="F42" s="3" t="n">
        <f aca="false">40*38.8</f>
        <v>1552</v>
      </c>
      <c r="G42" s="3" t="n">
        <f aca="false">40*6.5</f>
        <v>260</v>
      </c>
      <c r="H42" s="4"/>
      <c r="I42" s="4"/>
      <c r="J42" s="4"/>
      <c r="K42" s="15" t="n">
        <v>0</v>
      </c>
    </row>
    <row r="43" customFormat="false" ht="15" hidden="false" customHeight="false" outlineLevel="0" collapsed="false">
      <c r="A43" s="3" t="s">
        <v>67</v>
      </c>
      <c r="B43" s="3" t="n">
        <f aca="false">40*243.8</f>
        <v>9752</v>
      </c>
      <c r="C43" s="3" t="n">
        <f aca="false">40*0</f>
        <v>0</v>
      </c>
      <c r="D43" s="3" t="n">
        <f aca="false">40*97.1</f>
        <v>3884</v>
      </c>
      <c r="E43" s="3" t="n">
        <f aca="false">40*32.9</f>
        <v>1316</v>
      </c>
      <c r="F43" s="3" t="n">
        <f aca="false">40*38.8</f>
        <v>1552</v>
      </c>
      <c r="G43" s="3" t="n">
        <f aca="false">40*6.5</f>
        <v>260</v>
      </c>
      <c r="H43" s="4"/>
      <c r="I43" s="4"/>
      <c r="J43" s="4"/>
      <c r="K43" s="15" t="n">
        <v>0</v>
      </c>
    </row>
    <row r="44" customFormat="false" ht="15" hidden="false" customHeight="true" outlineLevel="0" collapsed="false">
      <c r="A44" s="3" t="s">
        <v>32</v>
      </c>
      <c r="B44" s="10" t="n">
        <f aca="false">10.3/100*34.3/100*L44</f>
        <v>0</v>
      </c>
      <c r="D44" s="10" t="n">
        <f aca="false">10.3/100*34.3/100*L44</f>
        <v>0</v>
      </c>
      <c r="F44" s="10" t="n">
        <f aca="false">10.3/100*14.2/100*L44</f>
        <v>0</v>
      </c>
      <c r="H44" s="4" t="s">
        <v>72</v>
      </c>
      <c r="I44" s="4" t="s">
        <v>73</v>
      </c>
      <c r="J44" s="4" t="s">
        <v>74</v>
      </c>
      <c r="K44" s="3" t="n">
        <v>2</v>
      </c>
    </row>
    <row r="45" customFormat="false" ht="15" hidden="false" customHeight="false" outlineLevel="0" collapsed="false">
      <c r="A45" s="3" t="s">
        <v>45</v>
      </c>
      <c r="B45" s="10"/>
      <c r="D45" s="10" t="n">
        <f aca="false">10.9/100*27.7/100*L45</f>
        <v>0</v>
      </c>
      <c r="F45" s="10" t="n">
        <f aca="false">10.9/100*14.2/100*L45</f>
        <v>0</v>
      </c>
      <c r="H45" s="4"/>
      <c r="I45" s="4"/>
      <c r="J45" s="4"/>
      <c r="K45" s="3" t="n">
        <v>2</v>
      </c>
    </row>
    <row r="46" customFormat="false" ht="15" hidden="false" customHeight="true" outlineLevel="0" collapsed="false">
      <c r="A46" s="3" t="s">
        <v>28</v>
      </c>
      <c r="B46" s="3" t="n">
        <v>750</v>
      </c>
      <c r="C46" s="3" t="n">
        <v>68.75</v>
      </c>
      <c r="D46" s="3" t="n">
        <v>1050</v>
      </c>
      <c r="E46" s="3" t="n">
        <v>93.75</v>
      </c>
      <c r="H46" s="4" t="s">
        <v>315</v>
      </c>
      <c r="I46" s="4" t="s">
        <v>76</v>
      </c>
      <c r="J46" s="4" t="s">
        <v>77</v>
      </c>
      <c r="K46" s="3" t="n">
        <v>0</v>
      </c>
    </row>
    <row r="47" customFormat="false" ht="15" hidden="false" customHeight="false" outlineLevel="0" collapsed="false">
      <c r="A47" s="3" t="s">
        <v>27</v>
      </c>
      <c r="B47" s="3" t="n">
        <v>1112.5</v>
      </c>
      <c r="C47" s="3" t="n">
        <v>100</v>
      </c>
      <c r="D47" s="3" t="n">
        <v>1162.5</v>
      </c>
      <c r="E47" s="3" t="n">
        <v>93.75</v>
      </c>
      <c r="H47" s="4"/>
      <c r="I47" s="4"/>
      <c r="J47" s="4"/>
      <c r="K47" s="3" t="n">
        <v>0</v>
      </c>
    </row>
    <row r="48" customFormat="false" ht="15" hidden="false" customHeight="false" outlineLevel="0" collapsed="false">
      <c r="A48" s="3" t="s">
        <v>15</v>
      </c>
      <c r="B48" s="3" t="n">
        <v>1150</v>
      </c>
      <c r="C48" s="3" t="n">
        <v>137.5</v>
      </c>
      <c r="D48" s="3" t="n">
        <v>1175</v>
      </c>
      <c r="E48" s="3" t="n">
        <v>93.75</v>
      </c>
      <c r="H48" s="4"/>
      <c r="I48" s="4"/>
      <c r="J48" s="4"/>
      <c r="K48" s="3" t="n">
        <v>0</v>
      </c>
    </row>
    <row r="49" customFormat="false" ht="15" hidden="false" customHeight="false" outlineLevel="0" collapsed="false">
      <c r="A49" s="3" t="s">
        <v>78</v>
      </c>
      <c r="B49" s="3" t="n">
        <v>2050</v>
      </c>
      <c r="C49" s="3" t="n">
        <v>193.75</v>
      </c>
      <c r="D49" s="3" t="n">
        <v>1750</v>
      </c>
      <c r="E49" s="3" t="n">
        <v>193.75</v>
      </c>
      <c r="H49" s="4"/>
      <c r="I49" s="4"/>
      <c r="J49" s="4"/>
      <c r="K49" s="3" t="n">
        <v>0</v>
      </c>
    </row>
    <row r="50" customFormat="false" ht="15" hidden="false" customHeight="true" outlineLevel="0" collapsed="false">
      <c r="A50" s="3" t="s">
        <v>95</v>
      </c>
      <c r="B50" s="3" t="n">
        <v>7045.454545455</v>
      </c>
      <c r="C50" s="3" t="n">
        <v>852.272727273</v>
      </c>
      <c r="H50" s="4" t="s">
        <v>96</v>
      </c>
      <c r="I50" s="4" t="s">
        <v>97</v>
      </c>
      <c r="J50" s="4" t="s">
        <v>98</v>
      </c>
      <c r="K50" s="15" t="n">
        <v>0</v>
      </c>
    </row>
    <row r="51" customFormat="false" ht="15" hidden="false" customHeight="false" outlineLevel="0" collapsed="false">
      <c r="A51" s="3" t="s">
        <v>68</v>
      </c>
      <c r="B51" s="3" t="n">
        <v>6846.590909091</v>
      </c>
      <c r="C51" s="3" t="n">
        <v>710.227272727</v>
      </c>
      <c r="H51" s="4"/>
      <c r="I51" s="4"/>
      <c r="J51" s="4"/>
      <c r="K51" s="15" t="n">
        <v>0</v>
      </c>
    </row>
    <row r="52" customFormat="false" ht="15" hidden="false" customHeight="true" outlineLevel="0" collapsed="false">
      <c r="A52" s="3" t="s">
        <v>142</v>
      </c>
      <c r="B52" s="3" t="n">
        <v>0</v>
      </c>
      <c r="C52" s="3" t="n">
        <v>0</v>
      </c>
      <c r="D52" s="3" t="n">
        <v>512.67</v>
      </c>
      <c r="E52" s="3" t="n">
        <v>356.23</v>
      </c>
      <c r="F52" s="3" t="n">
        <v>788.87</v>
      </c>
      <c r="G52" s="3" t="n">
        <v>335.88</v>
      </c>
      <c r="H52" s="4" t="s">
        <v>316</v>
      </c>
      <c r="I52" s="4" t="s">
        <v>317</v>
      </c>
      <c r="J52" s="4" t="s">
        <v>318</v>
      </c>
      <c r="K52" s="3" t="n">
        <v>0</v>
      </c>
    </row>
    <row r="53" customFormat="false" ht="15" hidden="false" customHeight="false" outlineLevel="0" collapsed="false">
      <c r="A53" s="3" t="s">
        <v>146</v>
      </c>
      <c r="B53" s="3" t="n">
        <v>4995.65</v>
      </c>
      <c r="C53" s="3" t="n">
        <v>1278.58</v>
      </c>
      <c r="D53" s="3" t="n">
        <v>3353.63</v>
      </c>
      <c r="E53" s="3" t="n">
        <v>903.46</v>
      </c>
      <c r="F53" s="3" t="n">
        <v>5596.69</v>
      </c>
      <c r="G53" s="3" t="n">
        <v>968.7</v>
      </c>
      <c r="H53" s="4"/>
      <c r="I53" s="4"/>
      <c r="J53" s="4"/>
      <c r="K53" s="3" t="n">
        <v>0</v>
      </c>
    </row>
    <row r="54" customFormat="false" ht="15" hidden="false" customHeight="false" outlineLevel="0" collapsed="false">
      <c r="A54" s="3" t="s">
        <v>147</v>
      </c>
      <c r="B54" s="3" t="n">
        <v>8426.59</v>
      </c>
      <c r="C54" s="3" t="n">
        <v>1405.35</v>
      </c>
      <c r="D54" s="3" t="n">
        <v>2661.42</v>
      </c>
      <c r="E54" s="3" t="n">
        <v>697.03</v>
      </c>
      <c r="F54" s="3" t="n">
        <v>1574.74</v>
      </c>
      <c r="G54" s="3" t="n">
        <v>481.32</v>
      </c>
      <c r="H54" s="4"/>
      <c r="I54" s="4"/>
      <c r="J54" s="4"/>
      <c r="K54" s="15" t="n">
        <v>0</v>
      </c>
    </row>
    <row r="55" customFormat="false" ht="15" hidden="false" customHeight="false" outlineLevel="0" collapsed="false">
      <c r="A55" s="3" t="s">
        <v>148</v>
      </c>
      <c r="B55" s="3" t="n">
        <f aca="false">(8510.96+8964.038)/2</f>
        <v>8737.499</v>
      </c>
      <c r="C55" s="3" t="n">
        <f aca="false">(1766.67+2143.11)/2</f>
        <v>1954.89</v>
      </c>
      <c r="D55" s="3" t="n">
        <f aca="false">(7594.97 + 8064.99)/2</f>
        <v>7829.98</v>
      </c>
      <c r="E55" s="3" t="n">
        <f aca="false">(2459.81+1587)/2</f>
        <v>2023.405</v>
      </c>
      <c r="F55" s="10" t="n">
        <f aca="false">(1448.33+1007.7)</f>
        <v>2456.03</v>
      </c>
      <c r="G55" s="3" t="n">
        <f aca="false">(492.38+454.04)/2</f>
        <v>473.21</v>
      </c>
      <c r="H55" s="4"/>
      <c r="I55" s="4"/>
      <c r="J55" s="4"/>
      <c r="K55" s="3" t="n">
        <v>0</v>
      </c>
    </row>
    <row r="56" customFormat="false" ht="15" hidden="false" customHeight="false" outlineLevel="0" collapsed="false">
      <c r="A56" s="3" t="s">
        <v>149</v>
      </c>
      <c r="B56" s="3" t="n">
        <v>3017.66</v>
      </c>
      <c r="C56" s="3" t="n">
        <v>1003.13</v>
      </c>
      <c r="D56" s="3" t="n">
        <v>6344.08</v>
      </c>
      <c r="E56" s="3" t="n">
        <v>1985.93</v>
      </c>
      <c r="F56" s="3" t="n">
        <v>630.11</v>
      </c>
      <c r="G56" s="3" t="n">
        <v>285.53</v>
      </c>
      <c r="H56" s="4"/>
      <c r="I56" s="4"/>
      <c r="J56" s="4"/>
      <c r="K56" s="15" t="n">
        <v>0</v>
      </c>
    </row>
    <row r="57" customFormat="false" ht="15" hidden="false" customHeight="false" outlineLevel="0" collapsed="false">
      <c r="A57" s="3" t="s">
        <v>150</v>
      </c>
      <c r="B57" s="3" t="n">
        <v>3017.66</v>
      </c>
      <c r="C57" s="3" t="n">
        <v>1003.13</v>
      </c>
      <c r="D57" s="3" t="n">
        <v>6344.08</v>
      </c>
      <c r="E57" s="3" t="n">
        <v>1985.93</v>
      </c>
      <c r="F57" s="3" t="n">
        <v>630.11</v>
      </c>
      <c r="G57" s="3" t="n">
        <v>285.53</v>
      </c>
      <c r="H57" s="4"/>
      <c r="I57" s="4"/>
      <c r="J57" s="4"/>
      <c r="K57" s="15" t="n">
        <v>0</v>
      </c>
    </row>
    <row r="58" customFormat="false" ht="15" hidden="false" customHeight="true" outlineLevel="0" collapsed="false">
      <c r="A58" s="3" t="s">
        <v>15</v>
      </c>
      <c r="B58" s="10" t="n">
        <f aca="false">(1.35+1.46)/2*1000</f>
        <v>1405</v>
      </c>
      <c r="C58" s="10" t="n">
        <f aca="false">(0.07+0.15)/2*1000</f>
        <v>110</v>
      </c>
      <c r="D58" s="10" t="n">
        <f aca="false">(0.99+1.48)/2*1000</f>
        <v>1235</v>
      </c>
      <c r="E58" s="10" t="n">
        <f aca="false">(0.09+0.17)/2*1000</f>
        <v>130</v>
      </c>
      <c r="F58" s="10" t="n">
        <f aca="false">(0.69+1.14)/2*1000</f>
        <v>915</v>
      </c>
      <c r="G58" s="10" t="n">
        <f aca="false">(0.15+0.25)/2*1000</f>
        <v>200</v>
      </c>
      <c r="H58" s="4" t="s">
        <v>319</v>
      </c>
      <c r="I58" s="4" t="s">
        <v>320</v>
      </c>
      <c r="J58" s="4" t="s">
        <v>321</v>
      </c>
      <c r="K58" s="15" t="n">
        <v>0</v>
      </c>
    </row>
    <row r="59" customFormat="false" ht="15" hidden="false" customHeight="false" outlineLevel="0" collapsed="false">
      <c r="A59" s="3" t="s">
        <v>18</v>
      </c>
      <c r="B59" s="10" t="n">
        <f aca="false">(1.34+2.68)/2*1000</f>
        <v>2010</v>
      </c>
      <c r="C59" s="10" t="n">
        <f aca="false">(0.06+0.41)/2*1000</f>
        <v>235</v>
      </c>
      <c r="D59" s="10" t="n">
        <f aca="false">(3.09+5.79)/2*1000</f>
        <v>4440</v>
      </c>
      <c r="E59" s="10" t="n">
        <f aca="false">(0.16+0.48)/2*1000</f>
        <v>320</v>
      </c>
      <c r="F59" s="10" t="n">
        <f aca="false">(0.24+0.45)/2*1000</f>
        <v>345</v>
      </c>
      <c r="G59" s="10" t="n">
        <f aca="false">(0.1+0.3)/2*1000</f>
        <v>200</v>
      </c>
      <c r="H59" s="4"/>
      <c r="I59" s="4"/>
      <c r="J59" s="4"/>
      <c r="K59" s="15" t="n">
        <v>0</v>
      </c>
    </row>
    <row r="60" customFormat="false" ht="15" hidden="false" customHeight="false" outlineLevel="0" collapsed="false">
      <c r="A60" s="3" t="s">
        <v>19</v>
      </c>
      <c r="B60" s="10" t="n">
        <f aca="false">(5.73+3.83)/2*1000</f>
        <v>4780</v>
      </c>
      <c r="C60" s="10" t="n">
        <f aca="false">(0.42+0.72)/2*1000</f>
        <v>570</v>
      </c>
      <c r="D60" s="10" t="n">
        <f aca="false">(0.46+0.67)/2*1000</f>
        <v>565</v>
      </c>
      <c r="E60" s="10" t="n">
        <f aca="false">(0.12+0.17)/2*1000</f>
        <v>145</v>
      </c>
      <c r="F60" s="10" t="n">
        <f aca="false">(2.79+2.38)/2*1000</f>
        <v>2585</v>
      </c>
      <c r="G60" s="10" t="n">
        <f aca="false">(0.47+0.59)/2*1000</f>
        <v>530</v>
      </c>
      <c r="H60" s="4"/>
      <c r="I60" s="4"/>
      <c r="J60" s="4"/>
      <c r="K60" s="15" t="n">
        <v>0</v>
      </c>
    </row>
    <row r="61" customFormat="false" ht="15" hidden="false" customHeight="false" outlineLevel="0" collapsed="false">
      <c r="A61" s="3" t="s">
        <v>20</v>
      </c>
      <c r="B61" s="10" t="n">
        <f aca="false">(0.23+0.04)/2*1000</f>
        <v>135</v>
      </c>
      <c r="C61" s="10" t="n">
        <f aca="false">(0.05+0.05)/2*1000</f>
        <v>50</v>
      </c>
      <c r="D61" s="10" t="n">
        <f aca="false">(0.07+0.11)/2*1000</f>
        <v>90</v>
      </c>
      <c r="E61" s="10" t="n">
        <f aca="false">(0.06+0.05)/2*1000</f>
        <v>55</v>
      </c>
      <c r="F61" s="10" t="n">
        <f aca="false">(0.37+0.58)/2*1000</f>
        <v>475</v>
      </c>
      <c r="G61" s="10" t="n">
        <f aca="false">(0.14+0.13)/2*1000</f>
        <v>135</v>
      </c>
      <c r="H61" s="4"/>
      <c r="I61" s="4"/>
      <c r="J61" s="4"/>
      <c r="K61" s="15" t="n">
        <v>0</v>
      </c>
    </row>
    <row r="62" customFormat="false" ht="15" hidden="false" customHeight="false" outlineLevel="0" collapsed="false">
      <c r="A62" s="3" t="s">
        <v>21</v>
      </c>
      <c r="B62" s="10" t="n">
        <f aca="false">(0.06)/2*1000</f>
        <v>30</v>
      </c>
      <c r="C62" s="10" t="n">
        <f aca="false">(0.05)/2*1000</f>
        <v>25</v>
      </c>
      <c r="D62" s="10" t="n">
        <f aca="false">(0.03)/2*1000</f>
        <v>15</v>
      </c>
      <c r="E62" s="10" t="n">
        <f aca="false">(0.03)/2*1000</f>
        <v>15</v>
      </c>
      <c r="F62" s="10" t="n">
        <f aca="false">(0.44+1.32)/2*1000</f>
        <v>880</v>
      </c>
      <c r="G62" s="10" t="n">
        <f aca="false">(0.1+0.21)/2*1000</f>
        <v>155</v>
      </c>
      <c r="H62" s="4"/>
      <c r="I62" s="4"/>
      <c r="J62" s="4"/>
      <c r="K62" s="15" t="n">
        <v>0</v>
      </c>
    </row>
    <row r="63" customFormat="false" ht="15" hidden="false" customHeight="false" outlineLevel="0" collapsed="false">
      <c r="A63" s="3" t="s">
        <v>27</v>
      </c>
      <c r="B63" s="10" t="n">
        <f aca="false">(1.67+1.4)/2*1000</f>
        <v>1535</v>
      </c>
      <c r="C63" s="10" t="n">
        <f aca="false">(0.04+0.14)/2*1000</f>
        <v>90</v>
      </c>
      <c r="D63" s="10" t="n">
        <f aca="false">(1.18+1.47)/2*1000</f>
        <v>1325</v>
      </c>
      <c r="E63" s="10" t="n">
        <f aca="false">(0.22+0.34)/2*1000</f>
        <v>280</v>
      </c>
      <c r="F63" s="10" t="n">
        <f aca="false">(0.25+0.35)/2*1000</f>
        <v>300</v>
      </c>
      <c r="G63" s="10" t="n">
        <f aca="false">(0.07+0.05)/2*1000</f>
        <v>60</v>
      </c>
      <c r="H63" s="4"/>
      <c r="I63" s="4"/>
      <c r="J63" s="4"/>
      <c r="K63" s="15" t="n">
        <v>0</v>
      </c>
    </row>
    <row r="64" customFormat="false" ht="15" hidden="false" customHeight="false" outlineLevel="0" collapsed="false">
      <c r="A64" s="3" t="s">
        <v>22</v>
      </c>
      <c r="B64" s="10" t="n">
        <f aca="false">(1.3+1.53)/2*1000</f>
        <v>1415</v>
      </c>
      <c r="C64" s="10" t="n">
        <f aca="false">(0.2+0.2)/2*1000</f>
        <v>200</v>
      </c>
      <c r="D64" s="10" t="n">
        <f aca="false">(1.01+2.65)/2*1000</f>
        <v>1830</v>
      </c>
      <c r="E64" s="10" t="n">
        <f aca="false">(0.3+0.56)/2*1000</f>
        <v>430</v>
      </c>
      <c r="F64" s="10" t="n">
        <f aca="false">(0.03+0.33)/2*1000</f>
        <v>180</v>
      </c>
      <c r="G64" s="10" t="n">
        <f aca="false">(0.11+0.03)/2*1000</f>
        <v>70</v>
      </c>
      <c r="H64" s="4"/>
      <c r="I64" s="4"/>
      <c r="J64" s="4"/>
      <c r="K64" s="15" t="n">
        <v>0</v>
      </c>
    </row>
    <row r="65" customFormat="false" ht="15" hidden="false" customHeight="false" outlineLevel="0" collapsed="false">
      <c r="A65" s="3" t="s">
        <v>23</v>
      </c>
      <c r="B65" s="10" t="n">
        <f aca="false">(3.22+2.99)/2*1000</f>
        <v>3105</v>
      </c>
      <c r="C65" s="10" t="n">
        <f aca="false">(0.08+0.3)/2*1000</f>
        <v>190</v>
      </c>
      <c r="D65" s="10" t="n">
        <f aca="false">(2.08+1.59)/2*1000</f>
        <v>1835</v>
      </c>
      <c r="E65" s="10" t="n">
        <f aca="false">(0.46+0.52)/2*1000</f>
        <v>490</v>
      </c>
      <c r="F65" s="10" t="n">
        <f aca="false">(0.4+0.74)/2*1000</f>
        <v>570</v>
      </c>
      <c r="G65" s="10" t="n">
        <f aca="false">(0.08+0.16)/2*1000</f>
        <v>120</v>
      </c>
      <c r="H65" s="4"/>
      <c r="I65" s="4"/>
      <c r="J65" s="4"/>
      <c r="K65" s="15" t="n">
        <v>0</v>
      </c>
    </row>
    <row r="66" customFormat="false" ht="15" hidden="false" customHeight="false" outlineLevel="0" collapsed="false">
      <c r="A66" s="3" t="s">
        <v>24</v>
      </c>
      <c r="B66" s="10" t="n">
        <f aca="false">(0.79+0.45)/2*1000</f>
        <v>620</v>
      </c>
      <c r="C66" s="10" t="n">
        <f aca="false">(0.16+0.31)/2*1000</f>
        <v>235</v>
      </c>
      <c r="D66" s="10" t="n">
        <f aca="false">(1.31+0.36)/2*1000</f>
        <v>835</v>
      </c>
      <c r="E66" s="10" t="n">
        <f aca="false">(0.53+0.15)/2*1000</f>
        <v>340</v>
      </c>
      <c r="F66" s="10" t="n">
        <f aca="false">(0.33+0.4)/2*1000</f>
        <v>365</v>
      </c>
      <c r="G66" s="10" t="n">
        <f aca="false">(0.13+0.16)/2*1000</f>
        <v>145</v>
      </c>
      <c r="H66" s="4"/>
      <c r="I66" s="4"/>
      <c r="J66" s="4"/>
      <c r="K66" s="15" t="n">
        <v>0</v>
      </c>
    </row>
    <row r="67" customFormat="false" ht="15" hidden="false" customHeight="false" outlineLevel="0" collapsed="false">
      <c r="A67" s="3" t="s">
        <v>25</v>
      </c>
      <c r="B67" s="10" t="n">
        <f aca="false">(0.86+0.77)/2*1000</f>
        <v>815</v>
      </c>
      <c r="C67" s="10" t="n">
        <f aca="false">(0.33+0.14)/2*1000</f>
        <v>235</v>
      </c>
      <c r="D67" s="10" t="n">
        <f aca="false">(0.49+0.98)/2*1000</f>
        <v>735</v>
      </c>
      <c r="E67" s="10" t="n">
        <f aca="false">(0.23+0.28)/2*1000</f>
        <v>255</v>
      </c>
      <c r="F67" s="10" t="n">
        <f aca="false">(0.29+0.45)/2*1000</f>
        <v>370</v>
      </c>
      <c r="G67" s="10" t="n">
        <f aca="false">(0.18+0.05)/2*1000</f>
        <v>115</v>
      </c>
      <c r="H67" s="4"/>
      <c r="I67" s="4"/>
      <c r="J67" s="4"/>
      <c r="K67" s="15" t="n">
        <v>0</v>
      </c>
    </row>
    <row r="68" customFormat="false" ht="15" hidden="false" customHeight="false" outlineLevel="0" collapsed="false">
      <c r="A68" s="10" t="s">
        <v>26</v>
      </c>
      <c r="B68" s="10" t="n">
        <f aca="false">(0.05+0)/2*1000</f>
        <v>25</v>
      </c>
      <c r="C68" s="10" t="n">
        <f aca="false">(0.09)/2*1000</f>
        <v>45</v>
      </c>
      <c r="D68" s="10" t="n">
        <f aca="false">(0+0.02)/2*1000</f>
        <v>10</v>
      </c>
      <c r="E68" s="10" t="n">
        <f aca="false">(0.03)/2*1000</f>
        <v>15</v>
      </c>
      <c r="F68" s="10" t="n">
        <f aca="false">(0.08+0.2)/2*1000</f>
        <v>140</v>
      </c>
      <c r="G68" s="10" t="n">
        <f aca="false">(0.09+0.18)/2*1000</f>
        <v>135</v>
      </c>
      <c r="H68" s="4"/>
      <c r="I68" s="4"/>
      <c r="J68" s="4"/>
      <c r="K68" s="15" t="n">
        <v>0</v>
      </c>
    </row>
    <row r="69" customFormat="false" ht="15" hidden="false" customHeight="false" outlineLevel="0" collapsed="false">
      <c r="A69" s="3" t="s">
        <v>28</v>
      </c>
      <c r="B69" s="10" t="n">
        <f aca="false">(0.57+0.73)/2*1000</f>
        <v>650</v>
      </c>
      <c r="C69" s="10" t="n">
        <f aca="false">(0.05+0.05)/2*1000</f>
        <v>50</v>
      </c>
      <c r="D69" s="10" t="n">
        <f aca="false">(0.32+1.37)/2*1000</f>
        <v>845</v>
      </c>
      <c r="E69" s="10" t="n">
        <f aca="false">(0.04+0.16)/2*1000</f>
        <v>100</v>
      </c>
      <c r="F69" s="10" t="n">
        <f aca="false">(0.22+0.46)/2*1000</f>
        <v>340</v>
      </c>
      <c r="G69" s="10" t="n">
        <f aca="false">(0.07+0.11)/2*1000</f>
        <v>90</v>
      </c>
      <c r="H69" s="4"/>
      <c r="I69" s="4"/>
      <c r="J69" s="4"/>
      <c r="K69" s="15" t="n">
        <v>0</v>
      </c>
    </row>
    <row r="70" customFormat="false" ht="15" hidden="false" customHeight="false" outlineLevel="0" collapsed="false">
      <c r="A70" s="3" t="s">
        <v>29</v>
      </c>
      <c r="B70" s="10" t="n">
        <f aca="false">(0.52+0.97)/2*1000</f>
        <v>745</v>
      </c>
      <c r="C70" s="10" t="n">
        <f aca="false">(0.19+0.17)/2*1000</f>
        <v>180</v>
      </c>
      <c r="D70" s="10" t="n">
        <f aca="false">(3.3+7.7)/2*1000</f>
        <v>5500</v>
      </c>
      <c r="E70" s="10" t="n">
        <f aca="false">(0.55+1.23)/2*1000</f>
        <v>890</v>
      </c>
      <c r="F70" s="10" t="n">
        <f aca="false">(0.43+1.26)/2*1000</f>
        <v>845</v>
      </c>
      <c r="G70" s="10" t="n">
        <f aca="false">(0.18+0.14)/2*1000</f>
        <v>160</v>
      </c>
      <c r="H70" s="4"/>
      <c r="I70" s="4"/>
      <c r="J70" s="4"/>
      <c r="K70" s="15" t="n">
        <v>0</v>
      </c>
    </row>
    <row r="71" customFormat="false" ht="15" hidden="false" customHeight="false" outlineLevel="0" collapsed="false">
      <c r="A71" s="9" t="s">
        <v>30</v>
      </c>
      <c r="B71" s="10" t="n">
        <f aca="false">(1.9+2.32)/2*1000</f>
        <v>2110</v>
      </c>
      <c r="C71" s="10" t="n">
        <f aca="false">(0.12+0.16)/2*1000</f>
        <v>140</v>
      </c>
      <c r="D71" s="10" t="n">
        <f aca="false">(0.05+0.11)/2*1000</f>
        <v>80</v>
      </c>
      <c r="E71" s="10" t="n">
        <f aca="false">(0.01+0.07)/2*1000</f>
        <v>40</v>
      </c>
      <c r="F71" s="10" t="n">
        <f aca="false">(0.54+0.97)/2*1000</f>
        <v>755</v>
      </c>
      <c r="G71" s="10" t="n">
        <f aca="false">(0.18+0.4)/2*1000</f>
        <v>290</v>
      </c>
      <c r="H71" s="4"/>
      <c r="I71" s="4"/>
      <c r="J71" s="4"/>
      <c r="K71" s="15" t="n">
        <v>0</v>
      </c>
    </row>
    <row r="72" customFormat="false" ht="15" hidden="false" customHeight="false" outlineLevel="0" collapsed="false">
      <c r="A72" s="3" t="s">
        <v>31</v>
      </c>
      <c r="B72" s="10" t="n">
        <f aca="false">(0.04+0.18)/2*1000</f>
        <v>110</v>
      </c>
      <c r="C72" s="10" t="n">
        <f aca="false">(0.01+0.04)/2*1000</f>
        <v>25</v>
      </c>
      <c r="D72" s="10" t="n">
        <f aca="false">(0+0.01)/2*1000</f>
        <v>5</v>
      </c>
      <c r="E72" s="10" t="n">
        <f aca="false">(0.01)/2*1000</f>
        <v>5</v>
      </c>
      <c r="F72" s="10" t="n">
        <f aca="false">(0.04+0.04)/2*1000</f>
        <v>40</v>
      </c>
      <c r="G72" s="10" t="n">
        <f aca="false">(0.01+0.05)/2*1000</f>
        <v>30</v>
      </c>
      <c r="H72" s="4"/>
      <c r="I72" s="4"/>
      <c r="J72" s="4"/>
      <c r="K72" s="15" t="n">
        <v>0</v>
      </c>
    </row>
    <row r="73" customFormat="false" ht="15" hidden="false" customHeight="true" outlineLevel="0" collapsed="false">
      <c r="A73" s="3" t="s">
        <v>99</v>
      </c>
      <c r="B73" s="10" t="n">
        <f aca="false">25*87.9</f>
        <v>2197.5</v>
      </c>
      <c r="C73" s="10" t="n">
        <f aca="false">25*5.5</f>
        <v>137.5</v>
      </c>
      <c r="H73" s="4" t="s">
        <v>322</v>
      </c>
      <c r="I73" s="4" t="s">
        <v>323</v>
      </c>
      <c r="J73" s="4" t="s">
        <v>324</v>
      </c>
      <c r="K73" s="15" t="n">
        <v>0</v>
      </c>
    </row>
    <row r="74" customFormat="false" ht="15" hidden="false" customHeight="false" outlineLevel="0" collapsed="false">
      <c r="A74" s="3" t="s">
        <v>325</v>
      </c>
      <c r="B74" s="10" t="n">
        <f aca="false">25*41.3</f>
        <v>1032.5</v>
      </c>
      <c r="C74" s="10" t="n">
        <f aca="false">25*7.4</f>
        <v>185</v>
      </c>
      <c r="H74" s="4"/>
      <c r="I74" s="4"/>
      <c r="J74" s="4"/>
      <c r="K74" s="15" t="n">
        <v>0</v>
      </c>
    </row>
    <row r="75" customFormat="false" ht="15" hidden="false" customHeight="false" outlineLevel="0" collapsed="false">
      <c r="A75" s="3" t="s">
        <v>326</v>
      </c>
      <c r="B75" s="10" t="n">
        <f aca="false">25*34.9</f>
        <v>872.5</v>
      </c>
      <c r="C75" s="10" t="n">
        <f aca="false">25*2.6</f>
        <v>65</v>
      </c>
      <c r="H75" s="4"/>
      <c r="I75" s="4"/>
      <c r="J75" s="4"/>
      <c r="K75" s="15" t="n">
        <v>0</v>
      </c>
    </row>
    <row r="76" customFormat="false" ht="15" hidden="false" customHeight="false" outlineLevel="0" collapsed="false">
      <c r="A76" s="3" t="s">
        <v>327</v>
      </c>
      <c r="B76" s="10" t="n">
        <f aca="false">25*109.1</f>
        <v>2727.5</v>
      </c>
      <c r="C76" s="10" t="n">
        <f aca="false">25*24.7</f>
        <v>617.5</v>
      </c>
      <c r="H76" s="4"/>
      <c r="I76" s="4"/>
      <c r="J76" s="4"/>
      <c r="K76" s="15" t="n">
        <v>0</v>
      </c>
    </row>
    <row r="77" customFormat="false" ht="15" hidden="false" customHeight="false" outlineLevel="0" collapsed="false">
      <c r="A77" s="3" t="s">
        <v>328</v>
      </c>
      <c r="B77" s="10" t="n">
        <f aca="false">25*100.2</f>
        <v>2505</v>
      </c>
      <c r="C77" s="10" t="n">
        <f aca="false">25*13.2</f>
        <v>330</v>
      </c>
      <c r="H77" s="4"/>
      <c r="I77" s="4"/>
      <c r="J77" s="4"/>
      <c r="K77" s="15" t="n">
        <v>0</v>
      </c>
    </row>
    <row r="78" customFormat="false" ht="15" hidden="false" customHeight="false" outlineLevel="0" collapsed="false">
      <c r="A78" s="3" t="s">
        <v>45</v>
      </c>
      <c r="B78" s="10" t="n">
        <f aca="false">25*49.1</f>
        <v>1227.5</v>
      </c>
      <c r="C78" s="10" t="n">
        <f aca="false">25*7</f>
        <v>175</v>
      </c>
      <c r="H78" s="4"/>
      <c r="I78" s="4"/>
      <c r="J78" s="4"/>
      <c r="K78" s="15" t="n">
        <v>0</v>
      </c>
    </row>
    <row r="79" customFormat="false" ht="15" hidden="false" customHeight="false" outlineLevel="0" collapsed="false">
      <c r="A79" s="3" t="s">
        <v>329</v>
      </c>
      <c r="B79" s="10" t="n">
        <f aca="false">25*193.8</f>
        <v>4845</v>
      </c>
      <c r="C79" s="10" t="n">
        <f aca="false">25*27.9</f>
        <v>697.5</v>
      </c>
      <c r="H79" s="4"/>
      <c r="I79" s="4"/>
      <c r="J79" s="4"/>
      <c r="K79" s="15" t="n">
        <v>0</v>
      </c>
    </row>
    <row r="80" customFormat="false" ht="15" hidden="false" customHeight="false" outlineLevel="0" collapsed="false">
      <c r="A80" s="3" t="s">
        <v>55</v>
      </c>
      <c r="B80" s="10" t="n">
        <f aca="false">25*148.7</f>
        <v>3717.5</v>
      </c>
      <c r="C80" s="10" t="n">
        <f aca="false">25*19.1</f>
        <v>477.5</v>
      </c>
      <c r="H80" s="4"/>
      <c r="I80" s="4"/>
      <c r="J80" s="4"/>
      <c r="K80" s="15" t="n">
        <v>0</v>
      </c>
    </row>
    <row r="81" customFormat="false" ht="15" hidden="false" customHeight="false" outlineLevel="0" collapsed="false">
      <c r="A81" s="3" t="s">
        <v>158</v>
      </c>
      <c r="B81" s="10" t="n">
        <f aca="false">25*177.3</f>
        <v>4432.5</v>
      </c>
      <c r="C81" s="10" t="n">
        <f aca="false">25*29.3</f>
        <v>732.5</v>
      </c>
      <c r="H81" s="4"/>
      <c r="I81" s="4"/>
      <c r="J81" s="4"/>
      <c r="K81" s="15" t="n">
        <v>0</v>
      </c>
    </row>
    <row r="82" customFormat="false" ht="15" hidden="false" customHeight="false" outlineLevel="0" collapsed="false">
      <c r="A82" s="3" t="s">
        <v>330</v>
      </c>
      <c r="B82" s="10" t="n">
        <f aca="false">25*146.1</f>
        <v>3652.5</v>
      </c>
      <c r="C82" s="10" t="n">
        <f aca="false">25*11.6</f>
        <v>290</v>
      </c>
      <c r="H82" s="4"/>
      <c r="I82" s="4"/>
      <c r="J82" s="4"/>
      <c r="K82" s="15" t="n">
        <v>0</v>
      </c>
    </row>
    <row r="83" customFormat="false" ht="15" hidden="false" customHeight="false" outlineLevel="0" collapsed="false">
      <c r="A83" s="3" t="s">
        <v>331</v>
      </c>
      <c r="B83" s="10" t="n">
        <f aca="false">25*175.2</f>
        <v>4380</v>
      </c>
      <c r="C83" s="10" t="n">
        <f aca="false">25*26.3</f>
        <v>657.5</v>
      </c>
      <c r="H83" s="4"/>
      <c r="I83" s="4"/>
      <c r="J83" s="4"/>
      <c r="K83" s="15" t="n">
        <v>0</v>
      </c>
    </row>
    <row r="84" customFormat="false" ht="15" hidden="false" customHeight="false" outlineLevel="0" collapsed="false">
      <c r="A84" s="3" t="s">
        <v>332</v>
      </c>
      <c r="B84" s="10" t="n">
        <f aca="false">25*128.2</f>
        <v>3205</v>
      </c>
      <c r="C84" s="10" t="n">
        <f aca="false">25*3.8</f>
        <v>95</v>
      </c>
      <c r="H84" s="4"/>
      <c r="I84" s="4"/>
      <c r="J84" s="4"/>
      <c r="K84" s="15" t="n">
        <v>0</v>
      </c>
    </row>
    <row r="85" customFormat="false" ht="15" hidden="false" customHeight="false" outlineLevel="0" collapsed="false">
      <c r="A85" s="3" t="s">
        <v>32</v>
      </c>
      <c r="B85" s="10" t="n">
        <f aca="false">25*(178.8 + 173.3)/2</f>
        <v>4401.25</v>
      </c>
      <c r="C85" s="10" t="n">
        <f aca="false">25*(22.1+18.1)/2</f>
        <v>502.5</v>
      </c>
      <c r="H85" s="4"/>
      <c r="I85" s="4"/>
      <c r="J85" s="4"/>
      <c r="K85" s="15" t="n">
        <v>0</v>
      </c>
    </row>
    <row r="86" customFormat="false" ht="15" hidden="false" customHeight="false" outlineLevel="0" collapsed="false">
      <c r="A86" s="3" t="s">
        <v>333</v>
      </c>
      <c r="B86" s="10" t="n">
        <f aca="false">25*(164.4+136.1)/2</f>
        <v>3756.25</v>
      </c>
      <c r="C86" s="10" t="n">
        <f aca="false">25*(13.2+12)/2</f>
        <v>315</v>
      </c>
      <c r="H86" s="4"/>
      <c r="I86" s="4"/>
      <c r="J86" s="4"/>
      <c r="K86" s="15" t="n">
        <v>0</v>
      </c>
    </row>
    <row r="87" customFormat="false" ht="15" hidden="false" customHeight="false" outlineLevel="0" collapsed="false">
      <c r="A87" s="3" t="s">
        <v>334</v>
      </c>
      <c r="B87" s="10" t="n">
        <f aca="false">25*(164.4+136.1)/2</f>
        <v>3756.25</v>
      </c>
      <c r="C87" s="10" t="n">
        <f aca="false">25*(13.2+12)/2</f>
        <v>315</v>
      </c>
      <c r="H87" s="4"/>
      <c r="I87" s="4"/>
      <c r="J87" s="4"/>
      <c r="K87" s="15" t="n">
        <v>0</v>
      </c>
    </row>
    <row r="88" customFormat="false" ht="15" hidden="false" customHeight="false" outlineLevel="0" collapsed="false">
      <c r="A88" s="3" t="s">
        <v>335</v>
      </c>
      <c r="B88" s="10" t="n">
        <f aca="false">25*(164.4+136.1)/2</f>
        <v>3756.25</v>
      </c>
      <c r="C88" s="10" t="n">
        <f aca="false">25*(13.2+12)/2</f>
        <v>315</v>
      </c>
      <c r="H88" s="4"/>
      <c r="I88" s="4"/>
      <c r="J88" s="4"/>
      <c r="K88" s="15" t="n">
        <v>0</v>
      </c>
    </row>
    <row r="89" customFormat="false" ht="15" hidden="false" customHeight="false" outlineLevel="0" collapsed="false">
      <c r="A89" s="3" t="s">
        <v>336</v>
      </c>
      <c r="B89" s="10" t="n">
        <f aca="false">25*(136.1+101.9)/2</f>
        <v>2975</v>
      </c>
      <c r="C89" s="10" t="n">
        <f aca="false">25*(12+9.8)/2</f>
        <v>272.5</v>
      </c>
      <c r="H89" s="4"/>
      <c r="I89" s="4"/>
      <c r="J89" s="4"/>
      <c r="K89" s="15" t="n">
        <v>0</v>
      </c>
    </row>
    <row r="90" customFormat="false" ht="15" hidden="false" customHeight="false" outlineLevel="0" collapsed="false">
      <c r="A90" s="3" t="s">
        <v>337</v>
      </c>
      <c r="B90" s="10" t="n">
        <f aca="false">25*(136.1+101.9)/2</f>
        <v>2975</v>
      </c>
      <c r="C90" s="10" t="n">
        <f aca="false">25*(12+9.8)/2</f>
        <v>272.5</v>
      </c>
      <c r="H90" s="4"/>
      <c r="I90" s="4"/>
      <c r="J90" s="4"/>
      <c r="K90" s="15" t="n">
        <v>0</v>
      </c>
    </row>
    <row r="91" customFormat="false" ht="15" hidden="false" customHeight="false" outlineLevel="0" collapsed="false">
      <c r="A91" s="3" t="s">
        <v>338</v>
      </c>
      <c r="B91" s="10" t="n">
        <f aca="false">25*147.6</f>
        <v>3690</v>
      </c>
      <c r="C91" s="10" t="n">
        <f aca="false">25*10</f>
        <v>250</v>
      </c>
      <c r="H91" s="4"/>
      <c r="I91" s="4"/>
      <c r="J91" s="4"/>
      <c r="K91" s="15" t="n">
        <v>0</v>
      </c>
    </row>
    <row r="92" customFormat="false" ht="15" hidden="false" customHeight="false" outlineLevel="0" collapsed="false">
      <c r="A92" s="3" t="s">
        <v>339</v>
      </c>
      <c r="B92" s="10" t="n">
        <f aca="false">25*139.2</f>
        <v>3480</v>
      </c>
      <c r="C92" s="10" t="n">
        <f aca="false">25*9.1</f>
        <v>227.5</v>
      </c>
      <c r="H92" s="4"/>
      <c r="I92" s="4"/>
      <c r="J92" s="4"/>
      <c r="K92" s="15" t="n">
        <v>0</v>
      </c>
    </row>
    <row r="93" customFormat="false" ht="15" hidden="false" customHeight="false" outlineLevel="0" collapsed="false">
      <c r="A93" s="3" t="s">
        <v>340</v>
      </c>
      <c r="B93" s="10" t="n">
        <f aca="false">25*109.4</f>
        <v>2735</v>
      </c>
      <c r="C93" s="10" t="n">
        <f aca="false">25*8.1</f>
        <v>202.5</v>
      </c>
      <c r="H93" s="4"/>
      <c r="I93" s="4"/>
      <c r="J93" s="4"/>
      <c r="K93" s="15" t="n">
        <v>0</v>
      </c>
    </row>
    <row r="94" customFormat="false" ht="15" hidden="false" customHeight="false" outlineLevel="0" collapsed="false">
      <c r="A94" s="3" t="s">
        <v>341</v>
      </c>
      <c r="B94" s="10" t="n">
        <f aca="false">25*21.6</f>
        <v>540</v>
      </c>
      <c r="C94" s="10" t="n">
        <f aca="false">25*2</f>
        <v>50</v>
      </c>
      <c r="H94" s="4"/>
      <c r="I94" s="4"/>
      <c r="J94" s="4"/>
      <c r="K94" s="15" t="n">
        <v>0</v>
      </c>
    </row>
    <row r="95" customFormat="false" ht="15" hidden="false" customHeight="false" outlineLevel="0" collapsed="false">
      <c r="A95" s="3" t="s">
        <v>342</v>
      </c>
      <c r="B95" s="10" t="n">
        <f aca="false">25*18.4</f>
        <v>460</v>
      </c>
      <c r="C95" s="10" t="n">
        <f aca="false">25*4.1</f>
        <v>102.5</v>
      </c>
      <c r="H95" s="4"/>
      <c r="I95" s="4"/>
      <c r="J95" s="4"/>
      <c r="K95" s="15" t="n">
        <v>0</v>
      </c>
    </row>
    <row r="96" customFormat="false" ht="15" hidden="false" customHeight="false" outlineLevel="0" collapsed="false">
      <c r="A96" s="3" t="s">
        <v>343</v>
      </c>
      <c r="B96" s="10" t="n">
        <f aca="false">25*46.5</f>
        <v>1162.5</v>
      </c>
      <c r="C96" s="10" t="n">
        <f aca="false">25*3.2</f>
        <v>80</v>
      </c>
      <c r="H96" s="4"/>
      <c r="I96" s="4"/>
      <c r="J96" s="4"/>
      <c r="K96" s="15" t="n">
        <v>0</v>
      </c>
    </row>
    <row r="97" customFormat="false" ht="15" hidden="false" customHeight="false" outlineLevel="0" collapsed="false">
      <c r="A97" s="3" t="s">
        <v>344</v>
      </c>
      <c r="B97" s="10" t="n">
        <f aca="false">25*43</f>
        <v>1075</v>
      </c>
      <c r="C97" s="10" t="n">
        <f aca="false">25*3.2</f>
        <v>80</v>
      </c>
      <c r="H97" s="4"/>
      <c r="I97" s="4"/>
      <c r="J97" s="4"/>
      <c r="K97" s="15" t="n">
        <v>0</v>
      </c>
    </row>
    <row r="98" customFormat="false" ht="15" hidden="false" customHeight="false" outlineLevel="0" collapsed="false">
      <c r="A98" s="3" t="s">
        <v>345</v>
      </c>
      <c r="B98" s="10" t="n">
        <f aca="false">25*58.1</f>
        <v>1452.5</v>
      </c>
      <c r="C98" s="10" t="n">
        <f aca="false">25*7.4</f>
        <v>185</v>
      </c>
      <c r="H98" s="4"/>
      <c r="I98" s="4"/>
      <c r="J98" s="4"/>
      <c r="K98" s="15" t="n">
        <v>0</v>
      </c>
    </row>
    <row r="99" customFormat="false" ht="15" hidden="false" customHeight="false" outlineLevel="0" collapsed="false">
      <c r="A99" s="3" t="s">
        <v>15</v>
      </c>
      <c r="B99" s="10" t="n">
        <f aca="false">25*(35.5+43.2)/2</f>
        <v>983.75</v>
      </c>
      <c r="C99" s="10" t="n">
        <f aca="false">25*(4.8+3.9)/2</f>
        <v>108.75</v>
      </c>
      <c r="H99" s="4"/>
      <c r="I99" s="4"/>
      <c r="J99" s="4"/>
      <c r="K99" s="15" t="n">
        <v>0</v>
      </c>
    </row>
    <row r="100" customFormat="false" ht="15" hidden="false" customHeight="false" outlineLevel="0" collapsed="false">
      <c r="A100" s="3" t="s">
        <v>27</v>
      </c>
      <c r="B100" s="10" t="n">
        <f aca="false">25*(50.3+72.6)/2</f>
        <v>1536.25</v>
      </c>
      <c r="C100" s="10" t="n">
        <f aca="false">25*(11.3+19)/2</f>
        <v>378.75</v>
      </c>
      <c r="H100" s="4"/>
      <c r="I100" s="4"/>
      <c r="J100" s="4"/>
      <c r="K100" s="15" t="n">
        <v>0</v>
      </c>
    </row>
    <row r="101" customFormat="false" ht="15" hidden="false" customHeight="false" outlineLevel="0" collapsed="false">
      <c r="A101" s="3" t="s">
        <v>28</v>
      </c>
      <c r="B101" s="10" t="n">
        <f aca="false">25*58.1</f>
        <v>1452.5</v>
      </c>
      <c r="C101" s="10" t="n">
        <f aca="false">25*(1.3+0.6)/2</f>
        <v>23.75</v>
      </c>
      <c r="H101" s="4"/>
      <c r="I101" s="4"/>
      <c r="J101" s="4"/>
      <c r="K101" s="15" t="n">
        <v>0</v>
      </c>
    </row>
    <row r="102" customFormat="false" ht="15" hidden="false" customHeight="true" outlineLevel="0" collapsed="false">
      <c r="A102" s="3" t="s">
        <v>142</v>
      </c>
      <c r="F102" s="3" t="n">
        <v>550.1</v>
      </c>
      <c r="G102" s="3" t="n">
        <v>445.9</v>
      </c>
      <c r="H102" s="16"/>
      <c r="I102" s="4" t="s">
        <v>346</v>
      </c>
      <c r="J102" s="4" t="s">
        <v>161</v>
      </c>
      <c r="K102" s="3" t="n">
        <v>0</v>
      </c>
    </row>
    <row r="103" customFormat="false" ht="15" hidden="false" customHeight="false" outlineLevel="0" collapsed="false">
      <c r="A103" s="3" t="s">
        <v>146</v>
      </c>
      <c r="F103" s="3" t="n">
        <v>6432.4</v>
      </c>
      <c r="G103" s="3" t="n">
        <v>1163.5</v>
      </c>
      <c r="H103" s="16"/>
      <c r="I103" s="16"/>
      <c r="J103" s="16"/>
      <c r="K103" s="3" t="n">
        <v>0</v>
      </c>
    </row>
    <row r="104" customFormat="false" ht="15" hidden="false" customHeight="false" outlineLevel="0" collapsed="false">
      <c r="A104" s="3" t="s">
        <v>147</v>
      </c>
      <c r="F104" s="3" t="n">
        <v>2692.3</v>
      </c>
      <c r="G104" s="3" t="n">
        <v>786.7</v>
      </c>
      <c r="H104" s="16"/>
      <c r="I104" s="16"/>
      <c r="J104" s="16"/>
      <c r="K104" s="3" t="n">
        <v>0</v>
      </c>
    </row>
    <row r="105" customFormat="false" ht="15" hidden="false" customHeight="false" outlineLevel="0" collapsed="false">
      <c r="A105" s="3" t="s">
        <v>148</v>
      </c>
      <c r="F105" s="3" t="n">
        <f aca="false">(1175.7+910.2)/2</f>
        <v>1042.95</v>
      </c>
      <c r="G105" s="10" t="n">
        <f aca="false">(519.1+425)/2</f>
        <v>472.05</v>
      </c>
      <c r="H105" s="16"/>
      <c r="I105" s="16"/>
      <c r="J105" s="16"/>
      <c r="K105" s="3" t="n">
        <v>0</v>
      </c>
    </row>
    <row r="106" customFormat="false" ht="15" hidden="false" customHeight="false" outlineLevel="0" collapsed="false">
      <c r="A106" s="3" t="s">
        <v>149</v>
      </c>
      <c r="F106" s="3" t="n">
        <v>617.6</v>
      </c>
      <c r="G106" s="3" t="n">
        <v>264</v>
      </c>
      <c r="H106" s="16"/>
      <c r="I106" s="16"/>
      <c r="J106" s="16"/>
      <c r="K106" s="3" t="n">
        <v>0</v>
      </c>
    </row>
    <row r="107" customFormat="false" ht="15" hidden="false" customHeight="false" outlineLevel="0" collapsed="false">
      <c r="A107" s="3" t="s">
        <v>150</v>
      </c>
      <c r="F107" s="3" t="n">
        <v>617.6</v>
      </c>
      <c r="G107" s="3" t="n">
        <v>264</v>
      </c>
      <c r="H107" s="16"/>
      <c r="I107" s="16"/>
      <c r="J107" s="16"/>
      <c r="K107" s="3" t="n">
        <v>0</v>
      </c>
    </row>
    <row r="108" customFormat="false" ht="15" hidden="false" customHeight="false" outlineLevel="0" collapsed="false">
      <c r="A108" s="3" t="s">
        <v>347</v>
      </c>
      <c r="D108" s="10" t="e">
        <f aca="false">1901273/L108</f>
        <v>#DIV/0!</v>
      </c>
      <c r="E108" s="10" t="e">
        <f aca="false">67096/L108</f>
        <v>#DIV/0!</v>
      </c>
      <c r="H108" s="6" t="s">
        <v>348</v>
      </c>
      <c r="I108" s="6" t="s">
        <v>349</v>
      </c>
      <c r="J108" s="6" t="s">
        <v>350</v>
      </c>
      <c r="K108" s="3" t="n">
        <v>5</v>
      </c>
    </row>
    <row r="109" customFormat="false" ht="15" hidden="false" customHeight="false" outlineLevel="0" collapsed="false">
      <c r="A109" s="3" t="s">
        <v>351</v>
      </c>
      <c r="D109" s="3" t="n">
        <v>7945.205479452</v>
      </c>
      <c r="E109" s="3" t="n">
        <v>136.98630137</v>
      </c>
      <c r="H109" s="6"/>
      <c r="I109" s="6"/>
      <c r="J109" s="6"/>
      <c r="K109" s="3" t="n">
        <v>0</v>
      </c>
    </row>
    <row r="110" customFormat="false" ht="15" hidden="false" customHeight="false" outlineLevel="0" collapsed="false">
      <c r="A110" s="3" t="s">
        <v>352</v>
      </c>
      <c r="D110" s="3" t="n">
        <v>10735</v>
      </c>
      <c r="E110" s="3" t="n">
        <v>422</v>
      </c>
      <c r="H110" s="6"/>
      <c r="I110" s="6"/>
      <c r="J110" s="6"/>
      <c r="K110" s="3" t="n">
        <v>0</v>
      </c>
    </row>
    <row r="111" customFormat="false" ht="15" hidden="false" customHeight="false" outlineLevel="0" collapsed="false">
      <c r="A111" s="3" t="s">
        <v>353</v>
      </c>
      <c r="D111" s="3" t="n">
        <v>4385</v>
      </c>
      <c r="E111" s="3" t="n">
        <v>233</v>
      </c>
      <c r="H111" s="6"/>
      <c r="I111" s="6"/>
      <c r="J111" s="6"/>
      <c r="K111" s="3" t="n">
        <v>0</v>
      </c>
    </row>
    <row r="112" customFormat="false" ht="15" hidden="false" customHeight="false" outlineLevel="0" collapsed="false">
      <c r="A112" s="3" t="s">
        <v>354</v>
      </c>
      <c r="D112" s="3" t="n">
        <v>3882</v>
      </c>
      <c r="E112" s="3" t="n">
        <v>91</v>
      </c>
      <c r="H112" s="6"/>
      <c r="I112" s="6"/>
      <c r="J112" s="6"/>
      <c r="K112" s="3" t="n">
        <v>0</v>
      </c>
    </row>
    <row r="113" customFormat="false" ht="15" hidden="false" customHeight="false" outlineLevel="0" collapsed="false">
      <c r="A113" s="3" t="s">
        <v>355</v>
      </c>
      <c r="D113" s="3" t="n">
        <v>48130</v>
      </c>
      <c r="E113" s="3" t="n">
        <v>1278</v>
      </c>
      <c r="H113" s="6"/>
      <c r="I113" s="6"/>
      <c r="J113" s="6"/>
      <c r="K113" s="3" t="n">
        <v>0</v>
      </c>
    </row>
    <row r="114" customFormat="false" ht="15" hidden="false" customHeight="false" outlineLevel="0" collapsed="false">
      <c r="A114" s="3" t="s">
        <v>356</v>
      </c>
      <c r="D114" s="3" t="n">
        <v>41140</v>
      </c>
      <c r="E114" s="3" t="n">
        <v>1708</v>
      </c>
      <c r="H114" s="6"/>
      <c r="I114" s="6"/>
      <c r="J114" s="6"/>
      <c r="K114" s="3" t="n">
        <v>0</v>
      </c>
    </row>
    <row r="115" customFormat="false" ht="15" hidden="false" customHeight="false" outlineLevel="0" collapsed="false">
      <c r="A115" s="12" t="s">
        <v>357</v>
      </c>
      <c r="D115" s="3" t="n">
        <v>34370</v>
      </c>
      <c r="E115" s="3" t="n">
        <v>498</v>
      </c>
      <c r="H115" s="6"/>
      <c r="I115" s="6"/>
      <c r="J115" s="6"/>
      <c r="K115" s="3" t="n">
        <v>0</v>
      </c>
    </row>
    <row r="116" customFormat="false" ht="15" hidden="false" customHeight="false" outlineLevel="0" collapsed="false">
      <c r="A116" s="12" t="s">
        <v>358</v>
      </c>
      <c r="D116" s="3" t="n">
        <v>22191.780821918</v>
      </c>
      <c r="E116" s="3" t="n">
        <v>1095.890410959</v>
      </c>
      <c r="H116" s="6"/>
      <c r="I116" s="6"/>
      <c r="J116" s="6"/>
      <c r="K116" s="3" t="n">
        <v>0</v>
      </c>
    </row>
    <row r="117" customFormat="false" ht="15" hidden="false" customHeight="false" outlineLevel="0" collapsed="false">
      <c r="A117" s="12" t="s">
        <v>359</v>
      </c>
      <c r="D117" s="3" t="n">
        <v>18356.164383562</v>
      </c>
      <c r="E117" s="3" t="n">
        <v>547.945205479</v>
      </c>
      <c r="H117" s="6"/>
      <c r="I117" s="6"/>
      <c r="J117" s="6"/>
      <c r="K117" s="3" t="n">
        <v>0</v>
      </c>
    </row>
    <row r="118" customFormat="false" ht="15" hidden="false" customHeight="false" outlineLevel="0" collapsed="false">
      <c r="A118" s="3" t="s">
        <v>360</v>
      </c>
      <c r="D118" s="3" t="n">
        <v>11095.890410959</v>
      </c>
      <c r="E118" s="3" t="n">
        <v>410.95890411</v>
      </c>
      <c r="H118" s="6"/>
      <c r="I118" s="6"/>
      <c r="J118" s="6"/>
      <c r="K118" s="3" t="n">
        <v>0</v>
      </c>
    </row>
    <row r="119" customFormat="false" ht="15" hidden="false" customHeight="false" outlineLevel="0" collapsed="false">
      <c r="A119" s="3" t="s">
        <v>361</v>
      </c>
      <c r="D119" s="3" t="n">
        <v>29726.02739726</v>
      </c>
      <c r="E119" s="3" t="n">
        <v>2054.794520548</v>
      </c>
      <c r="H119" s="6"/>
      <c r="I119" s="6"/>
      <c r="J119" s="6"/>
      <c r="K119" s="3" t="n">
        <v>0</v>
      </c>
    </row>
    <row r="120" customFormat="false" ht="15" hidden="false" customHeight="false" outlineLevel="0" collapsed="false">
      <c r="A120" s="12" t="s">
        <v>359</v>
      </c>
      <c r="D120" s="3" t="n">
        <v>18356.164383562</v>
      </c>
      <c r="E120" s="3" t="n">
        <v>547.9452</v>
      </c>
      <c r="H120" s="6"/>
      <c r="I120" s="6"/>
      <c r="J120" s="6"/>
      <c r="K120" s="3" t="n">
        <v>0</v>
      </c>
    </row>
    <row r="121" customFormat="false" ht="15" hidden="false" customHeight="false" outlineLevel="0" collapsed="false">
      <c r="A121" s="3" t="s">
        <v>333</v>
      </c>
      <c r="D121" s="3" t="n">
        <v>10000</v>
      </c>
      <c r="E121" s="3" t="n">
        <v>821.917808219</v>
      </c>
      <c r="H121" s="6"/>
      <c r="I121" s="6"/>
      <c r="J121" s="6"/>
      <c r="K121" s="3" t="n">
        <v>0</v>
      </c>
    </row>
    <row r="122" customFormat="false" ht="15" hidden="false" customHeight="false" outlineLevel="0" collapsed="false">
      <c r="A122" s="3" t="s">
        <v>334</v>
      </c>
      <c r="D122" s="3" t="n">
        <v>10000</v>
      </c>
      <c r="E122" s="3" t="n">
        <v>821.917808219</v>
      </c>
      <c r="H122" s="6"/>
      <c r="I122" s="6"/>
      <c r="J122" s="6"/>
      <c r="K122" s="3" t="n">
        <v>0</v>
      </c>
    </row>
    <row r="123" customFormat="false" ht="15" hidden="false" customHeight="false" outlineLevel="0" collapsed="false">
      <c r="A123" s="3" t="s">
        <v>335</v>
      </c>
      <c r="D123" s="3" t="n">
        <v>10000</v>
      </c>
      <c r="E123" s="3" t="n">
        <v>821.917808219</v>
      </c>
      <c r="H123" s="6"/>
      <c r="I123" s="6"/>
      <c r="J123" s="6"/>
      <c r="K123" s="3" t="n">
        <v>0</v>
      </c>
    </row>
    <row r="124" customFormat="false" ht="15" hidden="false" customHeight="false" outlineLevel="0" collapsed="false">
      <c r="A124" s="3" t="s">
        <v>32</v>
      </c>
      <c r="D124" s="3" t="n">
        <v>11095.890410959</v>
      </c>
      <c r="E124" s="3" t="n">
        <v>410.9589</v>
      </c>
      <c r="H124" s="6"/>
      <c r="I124" s="6"/>
      <c r="J124" s="6"/>
      <c r="K124" s="3" t="n">
        <v>0</v>
      </c>
    </row>
    <row r="125" customFormat="false" ht="15" hidden="false" customHeight="false" outlineLevel="0" collapsed="false">
      <c r="A125" s="3" t="s">
        <v>362</v>
      </c>
      <c r="D125" s="3" t="n">
        <v>11506.849315068</v>
      </c>
      <c r="E125" s="3" t="n">
        <v>136.9863</v>
      </c>
      <c r="H125" s="6"/>
      <c r="I125" s="6"/>
      <c r="J125" s="6"/>
      <c r="K125" s="3" t="n">
        <v>0</v>
      </c>
    </row>
    <row r="126" customFormat="false" ht="15" hidden="false" customHeight="false" outlineLevel="0" collapsed="false">
      <c r="A126" s="3" t="s">
        <v>332</v>
      </c>
      <c r="D126" s="3" t="n">
        <v>10684.931506849</v>
      </c>
      <c r="E126" s="3" t="n">
        <v>684.931506849</v>
      </c>
      <c r="H126" s="6"/>
      <c r="I126" s="6"/>
      <c r="J126" s="6"/>
      <c r="K126" s="3" t="n">
        <v>0</v>
      </c>
    </row>
    <row r="127" customFormat="false" ht="15" hidden="false" customHeight="false" outlineLevel="0" collapsed="false">
      <c r="A127" s="3" t="s">
        <v>55</v>
      </c>
      <c r="D127" s="3" t="n">
        <v>11917.808219178</v>
      </c>
      <c r="E127" s="3" t="n">
        <v>684.931506849</v>
      </c>
      <c r="H127" s="6"/>
      <c r="I127" s="6"/>
      <c r="J127" s="6"/>
      <c r="K127" s="3" t="n">
        <v>0</v>
      </c>
    </row>
    <row r="128" customFormat="false" ht="15" hidden="false" customHeight="false" outlineLevel="0" collapsed="false">
      <c r="A128" s="3" t="s">
        <v>328</v>
      </c>
      <c r="D128" s="3" t="n">
        <v>11232.876712329</v>
      </c>
      <c r="E128" s="3" t="n">
        <v>684.931506849</v>
      </c>
      <c r="H128" s="6"/>
      <c r="I128" s="6"/>
      <c r="J128" s="6"/>
      <c r="K128" s="3" t="n">
        <v>0</v>
      </c>
    </row>
    <row r="129" customFormat="false" ht="15" hidden="false" customHeight="false" outlineLevel="0" collapsed="false">
      <c r="A129" s="3" t="s">
        <v>327</v>
      </c>
      <c r="D129" s="3" t="n">
        <v>11780.821917808</v>
      </c>
      <c r="E129" s="3" t="n">
        <v>547.9452</v>
      </c>
      <c r="H129" s="6"/>
      <c r="I129" s="6"/>
      <c r="J129" s="6"/>
      <c r="K129" s="3" t="n">
        <v>0</v>
      </c>
    </row>
    <row r="130" customFormat="false" ht="15" hidden="false" customHeight="true" outlineLevel="0" collapsed="false">
      <c r="A130" s="3" t="s">
        <v>162</v>
      </c>
      <c r="B130" s="3" t="n">
        <v>1811.023622047</v>
      </c>
      <c r="C130" s="3" t="n">
        <f aca="false">401*SQRT(5)</f>
        <v>896.663259</v>
      </c>
      <c r="H130" s="4" t="s">
        <v>163</v>
      </c>
      <c r="I130" s="4" t="s">
        <v>164</v>
      </c>
      <c r="J130" s="4" t="s">
        <v>165</v>
      </c>
      <c r="K130" s="3" t="n">
        <v>0</v>
      </c>
    </row>
    <row r="131" customFormat="false" ht="15" hidden="false" customHeight="false" outlineLevel="0" collapsed="false">
      <c r="A131" s="3" t="s">
        <v>15</v>
      </c>
      <c r="B131" s="3" t="n">
        <v>938.271604938</v>
      </c>
      <c r="C131" s="3" t="n">
        <f aca="false">312.757201646*SQRT(6)</f>
        <v>766.0955574</v>
      </c>
      <c r="H131" s="4"/>
      <c r="I131" s="4"/>
      <c r="J131" s="4"/>
      <c r="K131" s="3" t="n">
        <v>0</v>
      </c>
    </row>
    <row r="132" customFormat="false" ht="15" hidden="false" customHeight="false" outlineLevel="0" collapsed="false">
      <c r="A132" s="3" t="s">
        <v>27</v>
      </c>
      <c r="B132" s="3" t="n">
        <v>2419.75308642</v>
      </c>
      <c r="C132" s="3" t="n">
        <f aca="false">263.374485597*SQRT(6)</f>
        <v>645.133101</v>
      </c>
      <c r="H132" s="4"/>
      <c r="I132" s="4"/>
      <c r="J132" s="4"/>
      <c r="K132" s="3" t="n">
        <v>0</v>
      </c>
    </row>
    <row r="133" customFormat="false" ht="15" hidden="false" customHeight="false" outlineLevel="0" collapsed="false">
      <c r="A133" s="3" t="s">
        <v>28</v>
      </c>
      <c r="B133" s="3" t="n">
        <v>3226.33744856</v>
      </c>
      <c r="C133" s="3" t="n">
        <f aca="false">658.436213992*SQRT(6)</f>
        <v>1612.832752</v>
      </c>
      <c r="H133" s="4"/>
      <c r="I133" s="4"/>
      <c r="J133" s="4"/>
      <c r="K133" s="3" t="n">
        <v>0</v>
      </c>
    </row>
    <row r="134" customFormat="false" ht="15" hidden="false" customHeight="false" outlineLevel="0" collapsed="false">
      <c r="A134" s="3" t="s">
        <v>79</v>
      </c>
      <c r="B134" s="3" t="n">
        <v>4565.21739130434</v>
      </c>
      <c r="C134" s="10" t="n">
        <f aca="false">(4642.51207729468-B134)*SQRT(3)</f>
        <v>133.8783233</v>
      </c>
      <c r="H134" s="3" t="s">
        <v>363</v>
      </c>
      <c r="I134" s="3" t="s">
        <v>168</v>
      </c>
      <c r="J134" s="3" t="s">
        <v>169</v>
      </c>
      <c r="K134" s="3" t="n">
        <v>0</v>
      </c>
    </row>
    <row r="135" customFormat="false" ht="15" hidden="false" customHeight="true" outlineLevel="0" collapsed="false">
      <c r="A135" s="3" t="s">
        <v>364</v>
      </c>
      <c r="B135" s="3" t="n">
        <f aca="false">3.43037974683544*1000</f>
        <v>3430.379747</v>
      </c>
      <c r="C135" s="10" t="n">
        <f aca="false">(3.57278481012658*1000-B135)*SQRT(6)</f>
        <v>348.8197419</v>
      </c>
      <c r="H135" s="4" t="s">
        <v>365</v>
      </c>
      <c r="I135" s="4" t="s">
        <v>366</v>
      </c>
      <c r="J135" s="4" t="s">
        <v>367</v>
      </c>
      <c r="K135" s="3" t="n">
        <v>0</v>
      </c>
    </row>
    <row r="136" customFormat="false" ht="15" hidden="false" customHeight="false" outlineLevel="0" collapsed="false">
      <c r="A136" s="3" t="s">
        <v>99</v>
      </c>
      <c r="B136" s="3" t="n">
        <f aca="false">8.15980629539951*1000</f>
        <v>8159.806295</v>
      </c>
      <c r="C136" s="10" t="n">
        <f aca="false">(9.45520581113801*1000-B136)*SQRT(6)</f>
        <v>3173.067827</v>
      </c>
      <c r="H136" s="4"/>
      <c r="I136" s="4"/>
      <c r="J136" s="4"/>
      <c r="K136" s="3" t="n">
        <v>0</v>
      </c>
    </row>
    <row r="137" customFormat="false" ht="15" hidden="false" customHeight="false" outlineLevel="0" collapsed="false">
      <c r="A137" s="3" t="s">
        <v>15</v>
      </c>
      <c r="B137" s="10" t="n">
        <f aca="false">1709.30232558139</f>
        <v>1709.302326</v>
      </c>
      <c r="C137" s="10" t="n">
        <f aca="false">(1865.11627906976-B137)*SQRT(6)</f>
        <v>381.6646809</v>
      </c>
      <c r="H137" s="4"/>
      <c r="I137" s="4"/>
      <c r="J137" s="4"/>
      <c r="K137" s="3" t="n">
        <v>0</v>
      </c>
    </row>
    <row r="138" customFormat="false" ht="15" hidden="false" customHeight="true" outlineLevel="0" collapsed="false">
      <c r="A138" s="3" t="s">
        <v>166</v>
      </c>
      <c r="B138" s="3" t="n">
        <f aca="false">213.526570048309/40*1000</f>
        <v>5338.164251</v>
      </c>
      <c r="C138" s="3" t="n">
        <f aca="false">((233.816425120772)/40*1000-B138)*SQRT(6)</f>
        <v>1242.494797</v>
      </c>
      <c r="H138" s="4" t="s">
        <v>368</v>
      </c>
      <c r="I138" s="4" t="s">
        <v>369</v>
      </c>
      <c r="J138" s="4" t="s">
        <v>370</v>
      </c>
      <c r="K138" s="3" t="n">
        <v>0</v>
      </c>
    </row>
    <row r="139" customFormat="false" ht="15" hidden="false" customHeight="false" outlineLevel="0" collapsed="false">
      <c r="A139" s="3" t="s">
        <v>371</v>
      </c>
      <c r="B139" s="3" t="n">
        <f aca="false">68.5990338164251/40*1000</f>
        <v>1714.975845</v>
      </c>
      <c r="C139" s="3" t="n">
        <f aca="false">(78.0193236714975/40*1000 -B139)*SQRT(6)</f>
        <v>576.8725844</v>
      </c>
      <c r="H139" s="4"/>
      <c r="I139" s="4"/>
      <c r="J139" s="4"/>
      <c r="K139" s="3" t="n">
        <v>0</v>
      </c>
    </row>
    <row r="140" customFormat="false" ht="15" hidden="false" customHeight="false" outlineLevel="0" collapsed="false">
      <c r="A140" s="3" t="s">
        <v>15</v>
      </c>
      <c r="B140" s="3" t="n">
        <f aca="false">60.3864734299516/40*1000</f>
        <v>1509.661836</v>
      </c>
      <c r="C140" s="3" t="n">
        <f aca="false">(65.7004830917873/40*1000-B140)*SQRT(6)</f>
        <v>325.415304</v>
      </c>
      <c r="H140" s="4"/>
      <c r="I140" s="4"/>
      <c r="J140" s="4"/>
      <c r="K140" s="3" t="n">
        <v>0</v>
      </c>
    </row>
    <row r="141" customFormat="false" ht="15" hidden="false" customHeight="false" outlineLevel="0" collapsed="false">
      <c r="A141" s="3" t="s">
        <v>372</v>
      </c>
      <c r="B141" s="3" t="n">
        <f aca="false">91.3043478260869/40*1000</f>
        <v>2282.60869565217</v>
      </c>
      <c r="C141" s="3" t="n">
        <f aca="false">(101.449275362318/40*1000-B141)*SQRT(6)</f>
        <v>621.247398531917</v>
      </c>
      <c r="H141" s="4"/>
      <c r="I141" s="4"/>
      <c r="J141" s="4"/>
      <c r="K141" s="3" t="n">
        <v>0</v>
      </c>
    </row>
    <row r="142" customFormat="false" ht="15" hidden="false" customHeight="false" outlineLevel="0" collapsed="false">
      <c r="A142" s="3" t="s">
        <v>27</v>
      </c>
      <c r="B142" s="3" t="n">
        <f aca="false">91.3043478260869/40*1000</f>
        <v>2282.60869565217</v>
      </c>
      <c r="C142" s="3" t="n">
        <f aca="false">(101.449275362318/40*1000-B142)*SQRT(6)</f>
        <v>621.247398531917</v>
      </c>
      <c r="H142" s="4"/>
      <c r="I142" s="4"/>
      <c r="J142" s="4"/>
      <c r="K142" s="3" t="n">
        <v>0</v>
      </c>
    </row>
    <row r="143" customFormat="false" ht="15" hidden="false" customHeight="false" outlineLevel="0" collapsed="false">
      <c r="A143" s="12" t="s">
        <v>28</v>
      </c>
      <c r="B143" s="3" t="n">
        <f aca="false">21.2560386473429/40*1000</f>
        <v>531.4009662</v>
      </c>
      <c r="C143" s="3" t="n">
        <f aca="false">(26.0869565217391/40*1000-B143)*SQRT(6)</f>
        <v>295.8320945</v>
      </c>
      <c r="H143" s="4"/>
      <c r="I143" s="4"/>
      <c r="J143" s="4"/>
      <c r="K143" s="3" t="n">
        <v>0</v>
      </c>
    </row>
    <row r="144" customFormat="false" ht="15" hidden="false" customHeight="false" outlineLevel="0" collapsed="false">
      <c r="A144" s="3" t="s">
        <v>373</v>
      </c>
      <c r="B144" s="3" t="n">
        <f aca="false">191.787439613526/40*1000</f>
        <v>4794.68599</v>
      </c>
      <c r="C144" s="3" t="n">
        <f aca="false">(206.280193236714/40*1000-B144)*SQRT(6)</f>
        <v>887.4962836</v>
      </c>
      <c r="H144" s="4"/>
      <c r="I144" s="4"/>
      <c r="J144" s="4"/>
      <c r="K144" s="3" t="n">
        <v>0</v>
      </c>
    </row>
    <row r="145" customFormat="false" ht="15" hidden="false" customHeight="true" outlineLevel="0" collapsed="false">
      <c r="A145" s="3" t="s">
        <v>68</v>
      </c>
      <c r="B145" s="3" t="n">
        <f aca="false">74.4535519125683/50*1000</f>
        <v>1489.071038</v>
      </c>
      <c r="C145" s="3" t="n">
        <f aca="false">83.6065573770491/50*1000-B145</f>
        <v>183.0601093</v>
      </c>
      <c r="H145" s="4" t="s">
        <v>374</v>
      </c>
      <c r="I145" s="4" t="s">
        <v>375</v>
      </c>
      <c r="J145" s="4" t="s">
        <v>376</v>
      </c>
      <c r="K145" s="3" t="n">
        <v>0</v>
      </c>
    </row>
    <row r="146" customFormat="false" ht="15" hidden="false" customHeight="false" outlineLevel="0" collapsed="false">
      <c r="A146" s="3" t="s">
        <v>166</v>
      </c>
      <c r="B146" s="3" t="n">
        <f aca="false">110.382513661202/50*1000</f>
        <v>2207.650273</v>
      </c>
      <c r="C146" s="3" t="n">
        <f aca="false">120.081967213114/50*1000-B146</f>
        <v>193.989071</v>
      </c>
      <c r="H146" s="4"/>
      <c r="I146" s="4"/>
      <c r="J146" s="4"/>
      <c r="K146" s="3" t="n">
        <v>0</v>
      </c>
    </row>
    <row r="147" customFormat="false" ht="15" hidden="false" customHeight="true" outlineLevel="0" collapsed="false">
      <c r="A147" s="12" t="s">
        <v>28</v>
      </c>
      <c r="B147" s="10" t="n">
        <f aca="false">1088.05870580386</f>
        <v>1088.058706</v>
      </c>
      <c r="C147" s="3" t="n">
        <f aca="false">(1193.59573048699-B147)*SQRT(4)</f>
        <v>211.0740494</v>
      </c>
      <c r="H147" s="4" t="s">
        <v>377</v>
      </c>
      <c r="I147" s="4" t="s">
        <v>378</v>
      </c>
      <c r="J147" s="4" t="s">
        <v>379</v>
      </c>
      <c r="K147" s="3" t="n">
        <v>0</v>
      </c>
    </row>
    <row r="148" customFormat="false" ht="15" hidden="false" customHeight="false" outlineLevel="0" collapsed="false">
      <c r="A148" s="3" t="s">
        <v>358</v>
      </c>
      <c r="B148" s="3" t="n">
        <v>1448.18304172274</v>
      </c>
      <c r="C148" s="3" t="n">
        <f aca="false">(1539.70390309555-B148)*SQRT(4)</f>
        <v>183.0417227</v>
      </c>
      <c r="H148" s="4"/>
      <c r="I148" s="4"/>
      <c r="J148" s="4"/>
      <c r="K148" s="3" t="n">
        <v>0</v>
      </c>
    </row>
    <row r="149" customFormat="false" ht="15" hidden="false" customHeight="false" outlineLevel="0" collapsed="false">
      <c r="A149" s="3" t="s">
        <v>79</v>
      </c>
      <c r="B149" s="3" t="n">
        <v>1432.19264892268</v>
      </c>
      <c r="C149" s="10" t="n">
        <f aca="false">1678.07351077313-B149</f>
        <v>245.8808619</v>
      </c>
      <c r="H149" s="3" t="s">
        <v>380</v>
      </c>
      <c r="I149" s="3" t="s">
        <v>171</v>
      </c>
      <c r="J149" s="3" t="s">
        <v>172</v>
      </c>
      <c r="K149" s="3" t="n">
        <v>0</v>
      </c>
    </row>
    <row r="150" customFormat="false" ht="15" hidden="false" customHeight="false" outlineLevel="0" collapsed="false">
      <c r="A150" s="12" t="s">
        <v>158</v>
      </c>
      <c r="F150" s="3" t="n">
        <f aca="false">631.428571428571/(1.5*0.1*0.24)</f>
        <v>17539.68254</v>
      </c>
      <c r="G150" s="10" t="n">
        <f aca="false">679.183673469387/(1.5*0.1*0.24)-F150</f>
        <v>1326.530612</v>
      </c>
      <c r="H150" s="5" t="s">
        <v>381</v>
      </c>
      <c r="I150" s="10" t="s">
        <v>382</v>
      </c>
      <c r="J150" s="3" t="s">
        <v>383</v>
      </c>
      <c r="K150" s="3" t="n">
        <v>0</v>
      </c>
    </row>
    <row r="151" customFormat="false" ht="15" hidden="false" customHeight="false" outlineLevel="0" collapsed="false">
      <c r="A151" s="3" t="s">
        <v>384</v>
      </c>
      <c r="B151" s="3" t="n">
        <v>4810.99656357388</v>
      </c>
      <c r="C151" s="9" t="n">
        <f aca="false">5704.46735395189-B151</f>
        <v>893.4707904</v>
      </c>
      <c r="D151" s="3" t="n">
        <v>11416.5792235047</v>
      </c>
      <c r="E151" s="10" t="n">
        <f aca="false">14354.6694648478-D151</f>
        <v>2938.090241</v>
      </c>
      <c r="H151" s="3" t="s">
        <v>385</v>
      </c>
      <c r="I151" s="3" t="s">
        <v>386</v>
      </c>
      <c r="J151" s="3" t="s">
        <v>387</v>
      </c>
      <c r="K151" s="3" t="n">
        <v>0</v>
      </c>
    </row>
    <row r="152" customFormat="false" ht="15" hidden="false" customHeight="false" outlineLevel="0" collapsed="false">
      <c r="A152" s="3" t="s">
        <v>78</v>
      </c>
      <c r="B152" s="3" t="n">
        <v>10721.93</v>
      </c>
      <c r="C152" s="3" t="n">
        <v>3057.86</v>
      </c>
      <c r="D152" s="3" t="n">
        <v>11101.8363939899</v>
      </c>
      <c r="E152" s="9" t="n">
        <f aca="false">13877.2954924874-D152</f>
        <v>2775.459098</v>
      </c>
      <c r="H152" s="3" t="s">
        <v>388</v>
      </c>
      <c r="I152" s="3" t="s">
        <v>389</v>
      </c>
      <c r="J152" s="3" t="s">
        <v>387</v>
      </c>
      <c r="K152" s="3" t="n">
        <v>0</v>
      </c>
    </row>
    <row r="153" customFormat="false" ht="15" hidden="false" customHeight="true" outlineLevel="0" collapsed="false">
      <c r="A153" s="3" t="s">
        <v>68</v>
      </c>
      <c r="B153" s="10" t="n">
        <f aca="false">155.84/40*1000</f>
        <v>3896</v>
      </c>
      <c r="C153" s="3" t="n">
        <f aca="false">13.06/40*1000*SQRT(4)</f>
        <v>653</v>
      </c>
      <c r="D153" s="10" t="n">
        <f aca="false">192.15/40*1000</f>
        <v>4803.75</v>
      </c>
      <c r="E153" s="3" t="n">
        <f aca="false">12.93/40*1000*SQRT(7)</f>
        <v>855.2391113</v>
      </c>
      <c r="F153" s="10" t="n">
        <f aca="false">66.1/40*1000</f>
        <v>1652.5</v>
      </c>
      <c r="G153" s="3" t="n">
        <f aca="false">4.16/40*1000*SQRT(6)</f>
        <v>254.7469332</v>
      </c>
      <c r="H153" s="4" t="s">
        <v>390</v>
      </c>
      <c r="I153" s="4" t="s">
        <v>391</v>
      </c>
      <c r="J153" s="4" t="s">
        <v>392</v>
      </c>
      <c r="K153" s="3" t="n">
        <v>0</v>
      </c>
    </row>
    <row r="154" customFormat="false" ht="15" hidden="false" customHeight="false" outlineLevel="0" collapsed="false">
      <c r="A154" s="3" t="s">
        <v>166</v>
      </c>
      <c r="B154" s="3" t="n">
        <f aca="false">223.04/40*1000</f>
        <v>5576</v>
      </c>
      <c r="C154" s="3" t="n">
        <f aca="false">17.21/40*1000*SQRT(4)</f>
        <v>860.5</v>
      </c>
      <c r="D154" s="3" t="n">
        <f aca="false">178.45/40*1000</f>
        <v>4461.25</v>
      </c>
      <c r="E154" s="3" t="n">
        <f aca="false">13.1/40*1000*SQRT(7)</f>
        <v>866.4835544</v>
      </c>
      <c r="F154" s="3" t="n">
        <f aca="false">68.98/40*1000</f>
        <v>1724.5</v>
      </c>
      <c r="G154" s="3" t="n">
        <f aca="false">3.24/40*1000*SQRT(6)</f>
        <v>198.4086692</v>
      </c>
      <c r="H154" s="4"/>
      <c r="I154" s="4"/>
      <c r="J154" s="4"/>
      <c r="K154" s="3" t="n">
        <v>0</v>
      </c>
    </row>
    <row r="155" customFormat="false" ht="15" hidden="false" customHeight="false" outlineLevel="0" collapsed="false">
      <c r="A155" s="3" t="s">
        <v>393</v>
      </c>
      <c r="B155" s="3" t="n">
        <f aca="false">125.42/40*1000</f>
        <v>3135.5</v>
      </c>
      <c r="C155" s="3" t="n">
        <f aca="false">19.57/40*1000*SQRT(4)</f>
        <v>978.5</v>
      </c>
      <c r="D155" s="3" t="n">
        <f aca="false">183.59/40*1000</f>
        <v>4589.75</v>
      </c>
      <c r="E155" s="3" t="n">
        <f aca="false">21.95/40*1000*SQRT(7)</f>
        <v>1451.856032</v>
      </c>
      <c r="F155" s="3" t="n">
        <f aca="false">119.4/40*1000</f>
        <v>2985</v>
      </c>
      <c r="G155" s="3" t="n">
        <f aca="false">5.18/40*1000*SQRT(6)</f>
        <v>317.2089217</v>
      </c>
      <c r="H155" s="4"/>
      <c r="I155" s="4"/>
      <c r="J155" s="4"/>
      <c r="K155" s="3" t="n">
        <v>0</v>
      </c>
    </row>
    <row r="156" customFormat="false" ht="15" hidden="false" customHeight="true" outlineLevel="0" collapsed="false">
      <c r="A156" s="3" t="s">
        <v>394</v>
      </c>
      <c r="B156" s="3" t="n">
        <v>1081</v>
      </c>
      <c r="C156" s="3" t="n">
        <f aca="false">152*SQRT(4)</f>
        <v>304</v>
      </c>
      <c r="D156" s="3"/>
      <c r="H156" s="4" t="s">
        <v>395</v>
      </c>
      <c r="I156" s="4" t="s">
        <v>396</v>
      </c>
      <c r="J156" s="4" t="s">
        <v>397</v>
      </c>
      <c r="K156" s="3" t="n">
        <v>0</v>
      </c>
    </row>
    <row r="157" customFormat="false" ht="15" hidden="false" customHeight="false" outlineLevel="0" collapsed="false">
      <c r="A157" s="3" t="s">
        <v>327</v>
      </c>
      <c r="B157" s="3" t="n">
        <v>1267</v>
      </c>
      <c r="C157" s="3" t="n">
        <f aca="false">213*SQRT(4)</f>
        <v>426</v>
      </c>
      <c r="D157" s="3"/>
      <c r="H157" s="4"/>
      <c r="I157" s="4"/>
      <c r="J157" s="4"/>
      <c r="K157" s="3" t="n">
        <v>0</v>
      </c>
    </row>
    <row r="158" customFormat="false" ht="15" hidden="false" customHeight="false" outlineLevel="0" collapsed="false">
      <c r="A158" s="3" t="s">
        <v>328</v>
      </c>
      <c r="B158" s="3" t="n">
        <v>1261</v>
      </c>
      <c r="C158" s="3" t="n">
        <f aca="false">273*SQRT(4)</f>
        <v>546</v>
      </c>
      <c r="D158" s="3"/>
      <c r="H158" s="4"/>
      <c r="I158" s="4"/>
      <c r="J158" s="4"/>
      <c r="K158" s="3" t="n">
        <v>0</v>
      </c>
    </row>
    <row r="159" customFormat="false" ht="15" hidden="false" customHeight="false" outlineLevel="0" collapsed="false">
      <c r="A159" s="3" t="s">
        <v>398</v>
      </c>
      <c r="B159" s="3" t="n">
        <v>1557</v>
      </c>
      <c r="C159" s="3" t="n">
        <f aca="false">68*SQRT(4)</f>
        <v>136</v>
      </c>
      <c r="D159" s="3"/>
      <c r="H159" s="4"/>
      <c r="I159" s="4"/>
      <c r="J159" s="4"/>
      <c r="K159" s="3" t="n">
        <v>0</v>
      </c>
    </row>
    <row r="160" customFormat="false" ht="15" hidden="false" customHeight="false" outlineLevel="0" collapsed="false">
      <c r="A160" s="3" t="s">
        <v>158</v>
      </c>
      <c r="B160" s="3" t="n">
        <v>1673</v>
      </c>
      <c r="C160" s="3" t="n">
        <f aca="false">167*SQRT(4)</f>
        <v>334</v>
      </c>
      <c r="D160" s="3"/>
      <c r="H160" s="4"/>
      <c r="I160" s="4"/>
      <c r="J160" s="4"/>
      <c r="K160" s="3" t="n">
        <v>0</v>
      </c>
    </row>
    <row r="161" customFormat="false" ht="15" hidden="false" customHeight="false" outlineLevel="0" collapsed="false">
      <c r="A161" s="3" t="s">
        <v>399</v>
      </c>
      <c r="B161" s="3" t="n">
        <v>1816</v>
      </c>
      <c r="C161" s="3" t="n">
        <f aca="false">163*SQRT(4)</f>
        <v>326</v>
      </c>
      <c r="D161" s="3"/>
      <c r="H161" s="4"/>
      <c r="I161" s="4"/>
      <c r="J161" s="4"/>
      <c r="K161" s="3" t="n">
        <v>0</v>
      </c>
    </row>
    <row r="162" customFormat="false" ht="15" hidden="false" customHeight="false" outlineLevel="0" collapsed="false">
      <c r="A162" s="3" t="s">
        <v>330</v>
      </c>
      <c r="B162" s="3" t="n">
        <v>1174</v>
      </c>
      <c r="C162" s="3" t="n">
        <f aca="false">110*SQRT(4)</f>
        <v>220</v>
      </c>
      <c r="D162" s="3"/>
      <c r="H162" s="4"/>
      <c r="I162" s="4"/>
      <c r="J162" s="4"/>
      <c r="K162" s="3" t="n">
        <v>0</v>
      </c>
    </row>
    <row r="163" customFormat="false" ht="15" hidden="false" customHeight="false" outlineLevel="0" collapsed="false">
      <c r="A163" s="3" t="s">
        <v>400</v>
      </c>
      <c r="B163" s="3" t="n">
        <v>1766</v>
      </c>
      <c r="C163" s="3" t="n">
        <f aca="false">320*SQRT(4)</f>
        <v>640</v>
      </c>
      <c r="D163" s="3"/>
      <c r="H163" s="4"/>
      <c r="I163" s="4"/>
      <c r="J163" s="4"/>
      <c r="K163" s="3" t="n">
        <v>0</v>
      </c>
    </row>
    <row r="164" customFormat="false" ht="15" hidden="false" customHeight="false" outlineLevel="0" collapsed="false">
      <c r="A164" s="3" t="s">
        <v>331</v>
      </c>
      <c r="B164" s="3" t="n">
        <v>1982</v>
      </c>
      <c r="C164" s="3" t="n">
        <f aca="false">303*SQRT(4)</f>
        <v>606</v>
      </c>
      <c r="D164" s="3"/>
      <c r="H164" s="4"/>
      <c r="I164" s="4"/>
      <c r="J164" s="4"/>
      <c r="K164" s="3" t="n">
        <v>0</v>
      </c>
    </row>
    <row r="165" customFormat="false" ht="15" hidden="false" customHeight="false" outlineLevel="0" collapsed="false">
      <c r="A165" s="3" t="s">
        <v>401</v>
      </c>
      <c r="B165" s="3" t="n">
        <v>1963</v>
      </c>
      <c r="C165" s="3" t="n">
        <f aca="false">217*SQRT(4)</f>
        <v>434</v>
      </c>
      <c r="D165" s="3"/>
      <c r="H165" s="4"/>
      <c r="I165" s="4"/>
      <c r="J165" s="4"/>
      <c r="K165" s="3" t="n">
        <v>0</v>
      </c>
    </row>
    <row r="166" customFormat="false" ht="15" hidden="false" customHeight="false" outlineLevel="0" collapsed="false">
      <c r="A166" s="3" t="s">
        <v>332</v>
      </c>
      <c r="B166" s="3" t="n">
        <v>1475</v>
      </c>
      <c r="C166" s="3" t="n">
        <f aca="false">74*SQRT(4)</f>
        <v>148</v>
      </c>
      <c r="D166" s="3"/>
      <c r="H166" s="4"/>
      <c r="I166" s="4"/>
      <c r="J166" s="4"/>
      <c r="K166" s="3" t="n">
        <v>0</v>
      </c>
    </row>
    <row r="167" customFormat="false" ht="15" hidden="false" customHeight="false" outlineLevel="0" collapsed="false">
      <c r="A167" s="3" t="s">
        <v>402</v>
      </c>
      <c r="B167" s="3" t="n">
        <v>1197</v>
      </c>
      <c r="C167" s="3" t="n">
        <f aca="false">222*SQRT(4)</f>
        <v>444</v>
      </c>
      <c r="D167" s="3"/>
      <c r="H167" s="4"/>
      <c r="I167" s="4"/>
      <c r="J167" s="4"/>
      <c r="K167" s="3" t="n">
        <v>0</v>
      </c>
    </row>
    <row r="168" customFormat="false" ht="15" hidden="false" customHeight="false" outlineLevel="0" collapsed="false">
      <c r="A168" s="12" t="s">
        <v>403</v>
      </c>
      <c r="B168" s="3" t="n">
        <v>1187</v>
      </c>
      <c r="C168" s="3" t="n">
        <f aca="false">122*SQRT(4)</f>
        <v>244</v>
      </c>
      <c r="D168" s="3"/>
      <c r="H168" s="4"/>
      <c r="I168" s="4"/>
      <c r="J168" s="4"/>
      <c r="K168" s="3" t="n">
        <v>0</v>
      </c>
    </row>
    <row r="169" customFormat="false" ht="15" hidden="false" customHeight="false" outlineLevel="0" collapsed="false">
      <c r="A169" s="3" t="s">
        <v>339</v>
      </c>
      <c r="B169" s="3" t="n">
        <v>1825</v>
      </c>
      <c r="C169" s="3" t="n">
        <f aca="false">249*SQRT(4)</f>
        <v>498</v>
      </c>
      <c r="D169" s="3"/>
      <c r="H169" s="4"/>
      <c r="I169" s="4"/>
      <c r="J169" s="4"/>
      <c r="K169" s="3" t="n">
        <v>0</v>
      </c>
    </row>
    <row r="170" customFormat="false" ht="15" hidden="false" customHeight="false" outlineLevel="0" collapsed="false">
      <c r="A170" s="3" t="s">
        <v>338</v>
      </c>
      <c r="B170" s="3" t="n">
        <v>1942</v>
      </c>
      <c r="C170" s="3" t="n">
        <f aca="false">346*SQRT(4)</f>
        <v>692</v>
      </c>
      <c r="D170" s="3"/>
      <c r="H170" s="4"/>
      <c r="I170" s="4"/>
      <c r="J170" s="4"/>
      <c r="K170" s="3" t="n">
        <v>0</v>
      </c>
    </row>
    <row r="171" customFormat="false" ht="15" hidden="false" customHeight="false" outlineLevel="0" collapsed="false">
      <c r="A171" s="3" t="s">
        <v>404</v>
      </c>
      <c r="B171" s="3" t="n">
        <v>1397</v>
      </c>
      <c r="C171" s="3" t="n">
        <f aca="false">267*SQRT(4)</f>
        <v>534</v>
      </c>
      <c r="D171" s="3"/>
      <c r="H171" s="4"/>
      <c r="I171" s="4"/>
      <c r="J171" s="4"/>
      <c r="K171" s="3" t="n">
        <v>0</v>
      </c>
    </row>
    <row r="172" customFormat="false" ht="15" hidden="false" customHeight="false" outlineLevel="0" collapsed="false">
      <c r="A172" s="3" t="s">
        <v>340</v>
      </c>
      <c r="B172" s="3" t="n">
        <v>1821</v>
      </c>
      <c r="C172" s="3" t="n">
        <f aca="false">334*SQRT(4)</f>
        <v>668</v>
      </c>
      <c r="D172" s="3"/>
      <c r="H172" s="4"/>
      <c r="I172" s="4"/>
      <c r="J172" s="4"/>
      <c r="K172" s="3" t="n">
        <v>0</v>
      </c>
    </row>
    <row r="173" customFormat="false" ht="15" hidden="false" customHeight="false" outlineLevel="0" collapsed="false">
      <c r="A173" s="12" t="s">
        <v>335</v>
      </c>
      <c r="B173" s="3" t="n">
        <v>1703</v>
      </c>
      <c r="C173" s="3" t="n">
        <f aca="false">241*SQRT(4)</f>
        <v>482</v>
      </c>
      <c r="D173" s="3"/>
      <c r="H173" s="4"/>
      <c r="I173" s="4"/>
      <c r="J173" s="4"/>
      <c r="K173" s="3" t="n">
        <v>0</v>
      </c>
    </row>
    <row r="174" customFormat="false" ht="15" hidden="false" customHeight="false" outlineLevel="0" collapsed="false">
      <c r="A174" s="12" t="s">
        <v>336</v>
      </c>
      <c r="B174" s="3" t="n">
        <v>2376</v>
      </c>
      <c r="C174" s="3" t="n">
        <f aca="false">496*SQRT(4)</f>
        <v>992</v>
      </c>
      <c r="D174" s="3"/>
      <c r="H174" s="4"/>
      <c r="I174" s="4"/>
      <c r="J174" s="4"/>
      <c r="K174" s="3" t="n">
        <v>0</v>
      </c>
    </row>
    <row r="175" customFormat="false" ht="15" hidden="false" customHeight="false" outlineLevel="0" collapsed="false">
      <c r="A175" s="3" t="s">
        <v>333</v>
      </c>
      <c r="B175" s="3" t="n">
        <v>1614</v>
      </c>
      <c r="C175" s="3" t="n">
        <f aca="false">337*SQRT(4)</f>
        <v>674</v>
      </c>
      <c r="D175" s="3"/>
      <c r="H175" s="4"/>
      <c r="I175" s="4"/>
      <c r="J175" s="4"/>
      <c r="K175" s="3" t="n">
        <v>0</v>
      </c>
    </row>
    <row r="176" customFormat="false" ht="15" hidden="false" customHeight="false" outlineLevel="0" collapsed="false">
      <c r="A176" s="3" t="s">
        <v>32</v>
      </c>
      <c r="B176" s="3" t="n">
        <v>1855</v>
      </c>
      <c r="C176" s="3" t="n">
        <f aca="false">355*SQRT(4)</f>
        <v>710</v>
      </c>
      <c r="D176" s="3"/>
      <c r="H176" s="4"/>
      <c r="I176" s="4"/>
      <c r="J176" s="4"/>
      <c r="K176" s="3" t="n">
        <v>0</v>
      </c>
    </row>
    <row r="177" customFormat="false" ht="15" hidden="false" customHeight="false" outlineLevel="0" collapsed="false">
      <c r="A177" s="3" t="s">
        <v>334</v>
      </c>
      <c r="B177" s="3" t="n">
        <v>1498</v>
      </c>
      <c r="C177" s="3" t="n">
        <f aca="false">378*SQRT(4)</f>
        <v>756</v>
      </c>
      <c r="D177" s="3"/>
      <c r="H177" s="4"/>
      <c r="I177" s="4"/>
      <c r="J177" s="4"/>
      <c r="K177" s="3" t="n">
        <v>0</v>
      </c>
    </row>
    <row r="178" customFormat="false" ht="15" hidden="false" customHeight="false" outlineLevel="0" collapsed="false">
      <c r="A178" s="12" t="s">
        <v>337</v>
      </c>
      <c r="B178" s="3" t="n">
        <v>2241</v>
      </c>
      <c r="C178" s="3" t="n">
        <f aca="false">364*SQRT(4)</f>
        <v>728</v>
      </c>
      <c r="D178" s="3"/>
      <c r="H178" s="4"/>
      <c r="I178" s="4"/>
      <c r="J178" s="4"/>
      <c r="K178" s="3" t="n">
        <v>0</v>
      </c>
    </row>
    <row r="179" customFormat="false" ht="15" hidden="false" customHeight="false" outlineLevel="0" collapsed="false">
      <c r="A179" s="3" t="s">
        <v>405</v>
      </c>
      <c r="B179" s="3" t="n">
        <v>1398</v>
      </c>
      <c r="C179" s="3" t="n">
        <f aca="false">170*SQRT(4)</f>
        <v>340</v>
      </c>
      <c r="D179" s="3"/>
      <c r="H179" s="4"/>
      <c r="I179" s="4"/>
      <c r="J179" s="4"/>
      <c r="K179" s="3" t="n">
        <v>0</v>
      </c>
    </row>
    <row r="180" customFormat="false" ht="15" hidden="false" customHeight="false" outlineLevel="0" collapsed="false">
      <c r="A180" s="3" t="s">
        <v>406</v>
      </c>
      <c r="B180" s="3" t="n">
        <v>1541</v>
      </c>
      <c r="C180" s="3" t="n">
        <f aca="false">357*SQRT(4)</f>
        <v>714</v>
      </c>
      <c r="D180" s="3"/>
      <c r="H180" s="4"/>
      <c r="I180" s="4"/>
      <c r="J180" s="4"/>
      <c r="K180" s="3" t="n">
        <v>0</v>
      </c>
    </row>
    <row r="181" customFormat="false" ht="15" hidden="false" customHeight="false" outlineLevel="0" collapsed="false">
      <c r="A181" s="3" t="s">
        <v>407</v>
      </c>
      <c r="B181" s="3" t="n">
        <v>1881</v>
      </c>
      <c r="C181" s="3" t="n">
        <f aca="false">501*SQRT(4)</f>
        <v>1002</v>
      </c>
      <c r="D181" s="3"/>
      <c r="H181" s="4"/>
      <c r="I181" s="4"/>
      <c r="J181" s="4"/>
      <c r="K181" s="3" t="n">
        <v>0</v>
      </c>
    </row>
    <row r="182" customFormat="false" ht="15" hidden="false" customHeight="false" outlineLevel="0" collapsed="false">
      <c r="A182" s="3" t="s">
        <v>408</v>
      </c>
      <c r="B182" s="3" t="n">
        <v>1893</v>
      </c>
      <c r="C182" s="9" t="n">
        <f aca="false">293*SQRT(4)</f>
        <v>586</v>
      </c>
      <c r="D182" s="3"/>
      <c r="H182" s="4"/>
      <c r="I182" s="4"/>
      <c r="J182" s="4"/>
      <c r="K182" s="3" t="n">
        <v>0</v>
      </c>
    </row>
    <row r="183" customFormat="false" ht="15" hidden="false" customHeight="false" outlineLevel="0" collapsed="false">
      <c r="A183" s="3" t="s">
        <v>45</v>
      </c>
      <c r="B183" s="3" t="n">
        <v>1293</v>
      </c>
      <c r="C183" s="3" t="n">
        <f aca="false">229*SQRT(4)</f>
        <v>458</v>
      </c>
      <c r="D183" s="3"/>
      <c r="H183" s="4"/>
      <c r="I183" s="4"/>
      <c r="J183" s="4"/>
      <c r="K183" s="3" t="n">
        <v>0</v>
      </c>
    </row>
    <row r="184" customFormat="false" ht="15" hidden="false" customHeight="false" outlineLevel="0" collapsed="false">
      <c r="A184" s="3" t="s">
        <v>326</v>
      </c>
      <c r="B184" s="3" t="n">
        <v>1095</v>
      </c>
      <c r="C184" s="3" t="n">
        <f aca="false">224*SQRT(4)</f>
        <v>448</v>
      </c>
      <c r="D184" s="3"/>
      <c r="H184" s="4"/>
      <c r="I184" s="4"/>
      <c r="J184" s="4"/>
      <c r="K184" s="3" t="n">
        <v>0</v>
      </c>
    </row>
    <row r="185" customFormat="false" ht="15" hidden="false" customHeight="false" outlineLevel="0" collapsed="false">
      <c r="A185" s="3" t="s">
        <v>409</v>
      </c>
      <c r="B185" s="3" t="n">
        <v>1640</v>
      </c>
      <c r="C185" s="3" t="n">
        <f aca="false">277*SQRT(4)</f>
        <v>554</v>
      </c>
      <c r="D185" s="3"/>
      <c r="H185" s="4"/>
      <c r="I185" s="4"/>
      <c r="J185" s="4"/>
      <c r="K185" s="3" t="n">
        <v>0</v>
      </c>
    </row>
    <row r="186" customFormat="false" ht="15" hidden="false" customHeight="false" outlineLevel="0" collapsed="false">
      <c r="A186" s="3" t="s">
        <v>410</v>
      </c>
      <c r="B186" s="3" t="n">
        <v>1020</v>
      </c>
      <c r="C186" s="3" t="n">
        <f aca="false">163*SQRT(4)</f>
        <v>326</v>
      </c>
      <c r="D186" s="3"/>
      <c r="H186" s="4"/>
      <c r="I186" s="4"/>
      <c r="J186" s="4"/>
      <c r="K186" s="3" t="n">
        <v>0</v>
      </c>
    </row>
    <row r="187" customFormat="false" ht="15" hidden="false" customHeight="false" outlineLevel="0" collapsed="false">
      <c r="A187" s="3" t="s">
        <v>329</v>
      </c>
      <c r="B187" s="3" t="n">
        <v>1621</v>
      </c>
      <c r="C187" s="3" t="n">
        <f aca="false">307*SQRT(4)</f>
        <v>614</v>
      </c>
      <c r="D187" s="3"/>
      <c r="H187" s="4"/>
      <c r="I187" s="4"/>
      <c r="J187" s="4"/>
      <c r="K187" s="3" t="n">
        <v>0</v>
      </c>
    </row>
    <row r="188" customFormat="false" ht="15" hidden="false" customHeight="false" outlineLevel="0" collapsed="false">
      <c r="A188" s="3" t="s">
        <v>411</v>
      </c>
      <c r="B188" s="3" t="n">
        <v>1353</v>
      </c>
      <c r="C188" s="3" t="n">
        <f aca="false">211*SQRT(4)</f>
        <v>422</v>
      </c>
      <c r="D188" s="3"/>
      <c r="H188" s="4"/>
      <c r="I188" s="4"/>
      <c r="J188" s="4"/>
      <c r="K188" s="3" t="n">
        <v>0</v>
      </c>
    </row>
    <row r="189" customFormat="false" ht="15" hidden="false" customHeight="false" outlineLevel="0" collapsed="false">
      <c r="A189" s="3" t="s">
        <v>412</v>
      </c>
      <c r="B189" s="3" t="n">
        <v>1777</v>
      </c>
      <c r="C189" s="3" t="n">
        <f aca="false">92*SQRT(4)</f>
        <v>184</v>
      </c>
      <c r="D189" s="3"/>
      <c r="H189" s="4"/>
      <c r="I189" s="4"/>
      <c r="J189" s="4"/>
      <c r="K189" s="3" t="n">
        <v>0</v>
      </c>
    </row>
    <row r="190" customFormat="false" ht="15" hidden="false" customHeight="false" outlineLevel="0" collapsed="false">
      <c r="A190" s="3" t="s">
        <v>413</v>
      </c>
      <c r="B190" s="3" t="n">
        <v>1677</v>
      </c>
      <c r="C190" s="3" t="n">
        <f aca="false">287*SQRT(4)</f>
        <v>574</v>
      </c>
      <c r="D190" s="3"/>
      <c r="H190" s="4"/>
      <c r="I190" s="4"/>
      <c r="J190" s="4"/>
      <c r="K190" s="3" t="n">
        <v>0</v>
      </c>
    </row>
    <row r="191" customFormat="false" ht="15" hidden="false" customHeight="false" outlineLevel="0" collapsed="false">
      <c r="A191" s="3" t="s">
        <v>345</v>
      </c>
      <c r="B191" s="3" t="n">
        <v>1449</v>
      </c>
      <c r="C191" s="3" t="n">
        <f aca="false">309*SQRT(4)</f>
        <v>618</v>
      </c>
      <c r="D191" s="3"/>
      <c r="H191" s="4"/>
      <c r="I191" s="4"/>
      <c r="J191" s="4"/>
      <c r="K191" s="3" t="n">
        <v>0</v>
      </c>
    </row>
    <row r="192" customFormat="false" ht="15" hidden="false" customHeight="false" outlineLevel="0" collapsed="false">
      <c r="A192" s="3" t="s">
        <v>344</v>
      </c>
      <c r="B192" s="3" t="n">
        <v>666</v>
      </c>
      <c r="C192" s="3" t="n">
        <f aca="false">165*SQRT(4)</f>
        <v>330</v>
      </c>
      <c r="D192" s="3"/>
      <c r="H192" s="4"/>
      <c r="I192" s="4"/>
      <c r="J192" s="4"/>
      <c r="K192" s="3" t="n">
        <v>0</v>
      </c>
    </row>
    <row r="193" customFormat="false" ht="15" hidden="false" customHeight="false" outlineLevel="0" collapsed="false">
      <c r="A193" s="3" t="s">
        <v>341</v>
      </c>
      <c r="B193" s="3" t="n">
        <v>1065</v>
      </c>
      <c r="C193" s="3" t="n">
        <f aca="false">174*SQRT(4)</f>
        <v>348</v>
      </c>
      <c r="D193" s="3"/>
      <c r="H193" s="4"/>
      <c r="I193" s="4"/>
      <c r="J193" s="4"/>
      <c r="K193" s="3" t="n">
        <v>0</v>
      </c>
    </row>
    <row r="194" customFormat="false" ht="15" hidden="false" customHeight="false" outlineLevel="0" collapsed="false">
      <c r="A194" s="3" t="s">
        <v>44</v>
      </c>
      <c r="B194" s="3" t="n">
        <v>499</v>
      </c>
      <c r="C194" s="3" t="n">
        <f aca="false">216*SQRT(4)</f>
        <v>432</v>
      </c>
      <c r="D194" s="3"/>
      <c r="H194" s="4"/>
      <c r="I194" s="4"/>
      <c r="J194" s="4"/>
      <c r="K194" s="3" t="n">
        <v>0</v>
      </c>
    </row>
    <row r="195" customFormat="false" ht="15" hidden="false" customHeight="false" outlineLevel="0" collapsed="false">
      <c r="A195" s="3" t="s">
        <v>414</v>
      </c>
      <c r="B195" s="3" t="n">
        <v>100</v>
      </c>
      <c r="C195" s="3" t="n">
        <f aca="false">48*SQRT(4)</f>
        <v>96</v>
      </c>
      <c r="D195" s="3"/>
      <c r="H195" s="4"/>
      <c r="I195" s="4"/>
      <c r="J195" s="4"/>
      <c r="K195" s="3" t="n">
        <v>0</v>
      </c>
    </row>
    <row r="196" customFormat="false" ht="15" hidden="false" customHeight="false" outlineLevel="0" collapsed="false">
      <c r="A196" s="12" t="s">
        <v>415</v>
      </c>
      <c r="B196" s="3" t="n">
        <v>430</v>
      </c>
      <c r="C196" s="3" t="n">
        <f aca="false">145*SQRT(4)</f>
        <v>290</v>
      </c>
      <c r="D196" s="3"/>
      <c r="H196" s="4"/>
      <c r="I196" s="4"/>
      <c r="J196" s="4"/>
      <c r="K196" s="3" t="n">
        <v>0</v>
      </c>
    </row>
    <row r="197" customFormat="false" ht="15" hidden="false" customHeight="false" outlineLevel="0" collapsed="false">
      <c r="A197" s="3" t="s">
        <v>416</v>
      </c>
      <c r="B197" s="3" t="n">
        <v>466</v>
      </c>
      <c r="C197" s="3" t="n">
        <f aca="false">163*SQRT(4)</f>
        <v>326</v>
      </c>
      <c r="D197" s="3"/>
      <c r="H197" s="4"/>
      <c r="I197" s="4"/>
      <c r="J197" s="4"/>
      <c r="K197" s="3" t="n">
        <v>0</v>
      </c>
    </row>
    <row r="198" customFormat="false" ht="15" hidden="false" customHeight="false" outlineLevel="0" collapsed="false">
      <c r="A198" s="12" t="s">
        <v>325</v>
      </c>
      <c r="B198" s="3" t="n">
        <v>1493</v>
      </c>
      <c r="C198" s="3" t="n">
        <f aca="false">394*SQRT(4)</f>
        <v>788</v>
      </c>
      <c r="D198" s="3"/>
      <c r="H198" s="4"/>
      <c r="I198" s="4"/>
      <c r="J198" s="4"/>
      <c r="K198" s="3" t="n">
        <v>0</v>
      </c>
    </row>
    <row r="199" customFormat="false" ht="15" hidden="false" customHeight="false" outlineLevel="0" collapsed="false">
      <c r="A199" s="3" t="s">
        <v>362</v>
      </c>
      <c r="B199" s="3" t="n">
        <v>528</v>
      </c>
      <c r="C199" s="3" t="n">
        <f aca="false">78*SQRT(4)</f>
        <v>156</v>
      </c>
      <c r="D199" s="3"/>
      <c r="H199" s="4"/>
      <c r="I199" s="4"/>
      <c r="J199" s="4"/>
      <c r="K199" s="3" t="n">
        <v>0</v>
      </c>
    </row>
    <row r="200" customFormat="false" ht="15" hidden="false" customHeight="false" outlineLevel="0" collapsed="false">
      <c r="A200" s="3" t="s">
        <v>417</v>
      </c>
      <c r="B200" s="3" t="n">
        <v>353</v>
      </c>
      <c r="C200" s="3" t="n">
        <f aca="false">122*SQRT(4)</f>
        <v>244</v>
      </c>
      <c r="D200" s="3"/>
      <c r="H200" s="4"/>
      <c r="I200" s="4"/>
      <c r="J200" s="4"/>
      <c r="K200" s="3" t="n">
        <v>0</v>
      </c>
    </row>
    <row r="201" customFormat="false" ht="15" hidden="false" customHeight="false" outlineLevel="0" collapsed="false">
      <c r="A201" s="3" t="s">
        <v>418</v>
      </c>
      <c r="B201" s="3" t="n">
        <v>426</v>
      </c>
      <c r="C201" s="3" t="n">
        <f aca="false">86*SQRT(4)</f>
        <v>172</v>
      </c>
      <c r="D201" s="3"/>
      <c r="H201" s="4"/>
      <c r="I201" s="4"/>
      <c r="J201" s="4"/>
      <c r="K201" s="3" t="n">
        <v>0</v>
      </c>
    </row>
    <row r="202" customFormat="false" ht="15" hidden="false" customHeight="false" outlineLevel="0" collapsed="false">
      <c r="A202" s="3" t="s">
        <v>162</v>
      </c>
      <c r="B202" s="3" t="n">
        <v>199</v>
      </c>
      <c r="C202" s="3" t="n">
        <f aca="false">116*SQRT(4)</f>
        <v>232</v>
      </c>
      <c r="D202" s="3"/>
      <c r="H202" s="4"/>
      <c r="I202" s="4"/>
      <c r="J202" s="4"/>
      <c r="K202" s="3" t="n">
        <v>0</v>
      </c>
    </row>
    <row r="203" customFormat="false" ht="15" hidden="false" customHeight="false" outlineLevel="0" collapsed="false">
      <c r="A203" s="3" t="s">
        <v>419</v>
      </c>
      <c r="B203" s="3" t="n">
        <v>566</v>
      </c>
      <c r="C203" s="3" t="n">
        <f aca="false">127*SQRT(4)</f>
        <v>254</v>
      </c>
      <c r="D203" s="3"/>
      <c r="H203" s="4"/>
      <c r="I203" s="4"/>
      <c r="J203" s="4"/>
      <c r="K203" s="3" t="n">
        <v>0</v>
      </c>
    </row>
    <row r="204" customFormat="false" ht="15" hidden="false" customHeight="false" outlineLevel="0" collapsed="false">
      <c r="A204" s="3" t="s">
        <v>15</v>
      </c>
      <c r="B204" s="3" t="n">
        <v>651</v>
      </c>
      <c r="C204" s="3" t="n">
        <f aca="false">120*SQRT(4)</f>
        <v>240</v>
      </c>
      <c r="D204" s="3"/>
      <c r="H204" s="4"/>
      <c r="I204" s="4"/>
      <c r="J204" s="4"/>
      <c r="K204" s="3" t="n">
        <v>0</v>
      </c>
    </row>
    <row r="205" customFormat="false" ht="15" hidden="false" customHeight="false" outlineLevel="0" collapsed="false">
      <c r="A205" s="3" t="s">
        <v>372</v>
      </c>
      <c r="B205" s="3" t="n">
        <v>823</v>
      </c>
      <c r="C205" s="3" t="n">
        <f aca="false">127*SQRT(4)</f>
        <v>254</v>
      </c>
      <c r="D205" s="3"/>
      <c r="H205" s="4"/>
      <c r="I205" s="4"/>
      <c r="J205" s="4"/>
      <c r="K205" s="3" t="n">
        <v>0</v>
      </c>
    </row>
    <row r="206" customFormat="false" ht="15" hidden="false" customHeight="false" outlineLevel="0" collapsed="false">
      <c r="A206" s="3" t="s">
        <v>27</v>
      </c>
      <c r="B206" s="3" t="n">
        <v>612</v>
      </c>
      <c r="C206" s="3" t="n">
        <f aca="false">152*SQRT(4)</f>
        <v>304</v>
      </c>
      <c r="D206" s="3"/>
      <c r="H206" s="4"/>
      <c r="I206" s="4"/>
      <c r="J206" s="4"/>
      <c r="K206" s="3" t="n">
        <v>0</v>
      </c>
    </row>
    <row r="207" customFormat="false" ht="15" hidden="false" customHeight="false" outlineLevel="0" collapsed="false">
      <c r="A207" s="3" t="s">
        <v>28</v>
      </c>
      <c r="B207" s="3" t="n">
        <v>178</v>
      </c>
      <c r="C207" s="3" t="n">
        <f aca="false">56*SQRT(4)</f>
        <v>112</v>
      </c>
      <c r="D207" s="3"/>
      <c r="H207" s="4"/>
      <c r="I207" s="4"/>
      <c r="J207" s="4"/>
      <c r="K207" s="3" t="n">
        <v>0</v>
      </c>
    </row>
    <row r="208" customFormat="false" ht="15" hidden="false" customHeight="false" outlineLevel="0" collapsed="false">
      <c r="A208" s="3" t="s">
        <v>420</v>
      </c>
      <c r="B208" s="3" t="n">
        <v>355</v>
      </c>
      <c r="C208" s="3" t="n">
        <f aca="false">115*SQRT(4)</f>
        <v>230</v>
      </c>
      <c r="D208" s="3"/>
      <c r="H208" s="4"/>
      <c r="I208" s="4"/>
      <c r="J208" s="4"/>
      <c r="K208" s="3" t="n">
        <v>0</v>
      </c>
    </row>
    <row r="209" customFormat="false" ht="15" hidden="false" customHeight="false" outlineLevel="0" collapsed="false">
      <c r="A209" s="3" t="s">
        <v>421</v>
      </c>
      <c r="B209" s="3" t="n">
        <v>996</v>
      </c>
      <c r="C209" s="3" t="n">
        <f aca="false">304*SQRT(4)</f>
        <v>608</v>
      </c>
      <c r="D209" s="3"/>
      <c r="H209" s="4"/>
      <c r="I209" s="4"/>
      <c r="J209" s="4"/>
      <c r="K209" s="3" t="n">
        <v>0</v>
      </c>
    </row>
    <row r="210" customFormat="false" ht="15" hidden="false" customHeight="false" outlineLevel="0" collapsed="false">
      <c r="A210" s="3" t="s">
        <v>343</v>
      </c>
      <c r="B210" s="3" t="n">
        <v>607</v>
      </c>
      <c r="C210" s="3" t="n">
        <f aca="false">75*SQRT(4)</f>
        <v>150</v>
      </c>
      <c r="D210" s="3"/>
      <c r="H210" s="4"/>
      <c r="I210" s="4"/>
      <c r="J210" s="4"/>
      <c r="K210" s="3" t="n">
        <v>0</v>
      </c>
    </row>
    <row r="211" customFormat="false" ht="15" hidden="false" customHeight="false" outlineLevel="0" collapsed="false">
      <c r="A211" s="12" t="s">
        <v>342</v>
      </c>
      <c r="B211" s="3" t="n">
        <v>1671</v>
      </c>
      <c r="C211" s="3" t="n">
        <f aca="false">187*SQRT(4)</f>
        <v>374</v>
      </c>
      <c r="D211" s="3"/>
      <c r="H211" s="4"/>
      <c r="I211" s="4"/>
      <c r="J211" s="4"/>
      <c r="K211" s="3" t="n">
        <v>0</v>
      </c>
    </row>
    <row r="212" customFormat="false" ht="15" hidden="false" customHeight="false" outlineLevel="0" collapsed="false">
      <c r="A212" s="12" t="s">
        <v>422</v>
      </c>
      <c r="B212" s="12" t="n">
        <v>1671</v>
      </c>
      <c r="C212" s="3" t="n">
        <f aca="false">187*SQRT(4)</f>
        <v>374</v>
      </c>
      <c r="D212" s="3"/>
      <c r="H212" s="4"/>
      <c r="I212" s="4"/>
      <c r="J212" s="4"/>
      <c r="K212" s="12" t="n">
        <v>0</v>
      </c>
    </row>
    <row r="213" customFormat="false" ht="15" hidden="false" customHeight="false" outlineLevel="0" collapsed="false">
      <c r="A213" s="3" t="s">
        <v>423</v>
      </c>
      <c r="B213" s="3" t="n">
        <v>2614</v>
      </c>
      <c r="C213" s="3" t="n">
        <f aca="false">269*SQRT(4)</f>
        <v>538</v>
      </c>
      <c r="D213" s="3"/>
      <c r="H213" s="4"/>
      <c r="I213" s="4"/>
      <c r="J213" s="4"/>
      <c r="K213" s="3" t="n">
        <v>0</v>
      </c>
    </row>
    <row r="214" customFormat="false" ht="15" hidden="false" customHeight="false" outlineLevel="0" collapsed="false">
      <c r="A214" s="3" t="s">
        <v>424</v>
      </c>
      <c r="B214" s="3" t="n">
        <v>2088</v>
      </c>
      <c r="C214" s="3" t="n">
        <f aca="false">366*SQRT(4)</f>
        <v>732</v>
      </c>
      <c r="D214" s="3"/>
      <c r="H214" s="4"/>
      <c r="I214" s="4"/>
      <c r="J214" s="4"/>
      <c r="K214" s="3" t="n">
        <v>0</v>
      </c>
    </row>
    <row r="215" customFormat="false" ht="15" hidden="false" customHeight="false" outlineLevel="0" collapsed="false">
      <c r="A215" s="3" t="s">
        <v>425</v>
      </c>
      <c r="B215" s="3" t="n">
        <v>2525</v>
      </c>
      <c r="C215" s="3" t="n">
        <f aca="false">400*SQRT(4)</f>
        <v>800</v>
      </c>
      <c r="D215" s="3"/>
      <c r="H215" s="4"/>
      <c r="I215" s="4"/>
      <c r="J215" s="4"/>
      <c r="K215" s="3" t="n">
        <v>0</v>
      </c>
    </row>
    <row r="216" customFormat="false" ht="15" hidden="false" customHeight="false" outlineLevel="0" collapsed="false">
      <c r="A216" s="3" t="s">
        <v>78</v>
      </c>
      <c r="B216" s="3" t="n">
        <v>2072</v>
      </c>
      <c r="C216" s="3" t="n">
        <f aca="false">169*SQRT(4)</f>
        <v>338</v>
      </c>
      <c r="D216" s="3"/>
      <c r="H216" s="4"/>
      <c r="I216" s="4"/>
      <c r="J216" s="4"/>
      <c r="K216" s="3" t="n">
        <v>0</v>
      </c>
    </row>
    <row r="217" customFormat="false" ht="15" hidden="false" customHeight="false" outlineLevel="0" collapsed="false">
      <c r="A217" s="3" t="s">
        <v>426</v>
      </c>
      <c r="B217" s="3" t="n">
        <v>1167</v>
      </c>
      <c r="C217" s="3" t="n">
        <f aca="false">155*SQRT(4)</f>
        <v>310</v>
      </c>
      <c r="D217" s="3"/>
      <c r="H217" s="4"/>
      <c r="I217" s="4"/>
      <c r="J217" s="4"/>
      <c r="K217" s="3" t="n">
        <v>0</v>
      </c>
    </row>
    <row r="218" customFormat="false" ht="15" hidden="false" customHeight="false" outlineLevel="0" collapsed="false">
      <c r="A218" s="3" t="s">
        <v>427</v>
      </c>
      <c r="B218" s="3" t="n">
        <v>1047</v>
      </c>
      <c r="C218" s="3" t="n">
        <f aca="false">296*SQRT(4)</f>
        <v>592</v>
      </c>
      <c r="D218" s="3"/>
      <c r="H218" s="4"/>
      <c r="I218" s="4"/>
      <c r="J218" s="4"/>
      <c r="K218" s="3" t="n">
        <v>0</v>
      </c>
    </row>
    <row r="219" customFormat="false" ht="15" hidden="false" customHeight="false" outlineLevel="0" collapsed="false">
      <c r="A219" s="3" t="s">
        <v>428</v>
      </c>
      <c r="B219" s="3" t="n">
        <v>1324</v>
      </c>
      <c r="C219" s="3" t="n">
        <f aca="false">91*SQRT(4)</f>
        <v>182</v>
      </c>
      <c r="D219" s="3"/>
      <c r="H219" s="4"/>
      <c r="I219" s="4"/>
      <c r="J219" s="4"/>
      <c r="K219" s="3" t="n">
        <v>0</v>
      </c>
    </row>
    <row r="220" customFormat="false" ht="15" hidden="false" customHeight="false" outlineLevel="0" collapsed="false">
      <c r="A220" s="3" t="s">
        <v>429</v>
      </c>
      <c r="B220" s="3" t="n">
        <v>721</v>
      </c>
      <c r="C220" s="3" t="n">
        <f aca="false">82*SQRT(4)</f>
        <v>164</v>
      </c>
      <c r="D220" s="3"/>
      <c r="H220" s="4"/>
      <c r="I220" s="4"/>
      <c r="J220" s="4"/>
      <c r="K220" s="3" t="n">
        <v>0</v>
      </c>
    </row>
    <row r="221" customFormat="false" ht="15" hidden="false" customHeight="false" outlineLevel="0" collapsed="false">
      <c r="A221" s="3" t="s">
        <v>14</v>
      </c>
      <c r="B221" s="3" t="n">
        <v>476</v>
      </c>
      <c r="C221" s="3" t="n">
        <f aca="false">82*SQRT(4)</f>
        <v>164</v>
      </c>
      <c r="D221" s="3"/>
      <c r="H221" s="4"/>
      <c r="I221" s="4"/>
      <c r="J221" s="4"/>
      <c r="K221" s="3" t="n">
        <v>0</v>
      </c>
    </row>
    <row r="222" customFormat="false" ht="15" hidden="false" customHeight="false" outlineLevel="0" collapsed="false">
      <c r="A222" s="3" t="s">
        <v>359</v>
      </c>
      <c r="B222" s="3" t="n">
        <v>418</v>
      </c>
      <c r="C222" s="3" t="n">
        <f aca="false">77*SQRT(4)</f>
        <v>154</v>
      </c>
      <c r="D222" s="3"/>
      <c r="H222" s="4"/>
      <c r="I222" s="4"/>
      <c r="J222" s="4"/>
      <c r="K222" s="3" t="n">
        <v>0</v>
      </c>
    </row>
    <row r="223" customFormat="false" ht="15" hidden="false" customHeight="false" outlineLevel="0" collapsed="false">
      <c r="A223" s="3" t="s">
        <v>358</v>
      </c>
      <c r="B223" s="3" t="n">
        <v>606</v>
      </c>
      <c r="C223" s="3" t="n">
        <f aca="false">162*SQRT(4)</f>
        <v>324</v>
      </c>
      <c r="D223" s="3"/>
      <c r="H223" s="4"/>
      <c r="I223" s="4"/>
      <c r="J223" s="4"/>
      <c r="K223" s="3" t="n">
        <v>0</v>
      </c>
    </row>
    <row r="224" customFormat="false" ht="15" hidden="false" customHeight="false" outlineLevel="0" collapsed="false">
      <c r="A224" s="3" t="s">
        <v>430</v>
      </c>
      <c r="B224" s="3" t="n">
        <v>567</v>
      </c>
      <c r="C224" s="3" t="n">
        <f aca="false">165*SQRT(4)</f>
        <v>330</v>
      </c>
      <c r="D224" s="3"/>
      <c r="H224" s="4"/>
      <c r="I224" s="4"/>
      <c r="J224" s="4"/>
      <c r="K224" s="3" t="n">
        <v>0</v>
      </c>
    </row>
    <row r="225" customFormat="false" ht="15" hidden="false" customHeight="false" outlineLevel="0" collapsed="false">
      <c r="A225" s="3" t="s">
        <v>431</v>
      </c>
      <c r="B225" s="3" t="n">
        <v>1349</v>
      </c>
      <c r="C225" s="3" t="n">
        <f aca="false">499*SQRT(4)</f>
        <v>998</v>
      </c>
      <c r="D225" s="3"/>
      <c r="H225" s="4"/>
      <c r="I225" s="4"/>
      <c r="J225" s="4"/>
      <c r="K225" s="3" t="n">
        <v>0</v>
      </c>
    </row>
    <row r="226" customFormat="false" ht="15" hidden="false" customHeight="false" outlineLevel="0" collapsed="false">
      <c r="A226" s="3" t="s">
        <v>353</v>
      </c>
      <c r="B226" s="3" t="n">
        <v>577</v>
      </c>
      <c r="C226" s="3" t="n">
        <f aca="false">20*SQRT(4)</f>
        <v>40</v>
      </c>
      <c r="D226" s="3"/>
      <c r="H226" s="4"/>
      <c r="I226" s="4"/>
      <c r="J226" s="4"/>
      <c r="K226" s="3" t="n">
        <v>0</v>
      </c>
    </row>
    <row r="227" customFormat="false" ht="15" hidden="false" customHeight="false" outlineLevel="0" collapsed="false">
      <c r="A227" s="3" t="s">
        <v>432</v>
      </c>
      <c r="B227" s="3" t="n">
        <v>327</v>
      </c>
      <c r="C227" s="3" t="n">
        <f aca="false">43*SQRT(4)</f>
        <v>86</v>
      </c>
      <c r="D227" s="3"/>
      <c r="H227" s="4"/>
      <c r="I227" s="4"/>
      <c r="J227" s="4"/>
      <c r="K227" s="3" t="n">
        <v>0</v>
      </c>
    </row>
    <row r="228" customFormat="false" ht="15" hidden="false" customHeight="false" outlineLevel="0" collapsed="false">
      <c r="A228" s="3" t="s">
        <v>433</v>
      </c>
      <c r="B228" s="3" t="n">
        <v>347</v>
      </c>
      <c r="C228" s="3" t="n">
        <f aca="false">74*SQRT(4)</f>
        <v>148</v>
      </c>
      <c r="D228" s="3"/>
      <c r="H228" s="4"/>
      <c r="I228" s="4"/>
      <c r="J228" s="4"/>
      <c r="K228" s="3" t="n">
        <v>0</v>
      </c>
    </row>
    <row r="229" customFormat="false" ht="15" hidden="false" customHeight="false" outlineLevel="0" collapsed="false">
      <c r="A229" s="3" t="s">
        <v>434</v>
      </c>
      <c r="B229" s="3" t="n">
        <v>125</v>
      </c>
      <c r="C229" s="3" t="n">
        <f aca="false">33*SQRT(4)</f>
        <v>66</v>
      </c>
      <c r="D229" s="3"/>
      <c r="H229" s="4"/>
      <c r="I229" s="4"/>
      <c r="J229" s="4"/>
      <c r="K229" s="3" t="n">
        <v>0</v>
      </c>
    </row>
    <row r="230" customFormat="false" ht="15" hidden="false" customHeight="false" outlineLevel="0" collapsed="false">
      <c r="A230" s="3" t="s">
        <v>435</v>
      </c>
      <c r="B230" s="3" t="n">
        <v>215</v>
      </c>
      <c r="C230" s="3" t="n">
        <f aca="false">49*SQRT(4)</f>
        <v>98</v>
      </c>
      <c r="D230" s="3"/>
      <c r="H230" s="4"/>
      <c r="I230" s="4"/>
      <c r="J230" s="4"/>
      <c r="K230" s="3" t="n">
        <v>0</v>
      </c>
    </row>
    <row r="231" customFormat="false" ht="15" hidden="false" customHeight="false" outlineLevel="0" collapsed="false">
      <c r="A231" s="3" t="s">
        <v>84</v>
      </c>
      <c r="B231" s="3" t="n">
        <v>216</v>
      </c>
      <c r="C231" s="3" t="n">
        <f aca="false">140*SQRT(4)</f>
        <v>280</v>
      </c>
      <c r="D231" s="3"/>
      <c r="H231" s="4"/>
      <c r="I231" s="4"/>
      <c r="J231" s="4"/>
      <c r="K231" s="3" t="n">
        <v>0</v>
      </c>
    </row>
    <row r="232" customFormat="false" ht="15" hidden="false" customHeight="false" outlineLevel="0" collapsed="false">
      <c r="A232" s="3" t="s">
        <v>83</v>
      </c>
      <c r="B232" s="3" t="n">
        <v>254</v>
      </c>
      <c r="C232" s="3" t="n">
        <f aca="false">115*SQRT(4)</f>
        <v>230</v>
      </c>
      <c r="D232" s="3"/>
      <c r="H232" s="4"/>
      <c r="I232" s="4"/>
      <c r="J232" s="4"/>
      <c r="K232" s="3" t="n">
        <v>0</v>
      </c>
    </row>
    <row r="233" customFormat="false" ht="15" hidden="false" customHeight="false" outlineLevel="0" collapsed="false">
      <c r="A233" s="3" t="s">
        <v>436</v>
      </c>
      <c r="B233" s="3" t="n">
        <v>441</v>
      </c>
      <c r="C233" s="3" t="n">
        <f aca="false">88*SQRT(4)</f>
        <v>176</v>
      </c>
      <c r="D233" s="3"/>
      <c r="H233" s="4"/>
      <c r="I233" s="4"/>
      <c r="J233" s="4"/>
      <c r="K233" s="3" t="n">
        <v>0</v>
      </c>
    </row>
    <row r="234" customFormat="false" ht="15" hidden="false" customHeight="false" outlineLevel="0" collapsed="false">
      <c r="A234" s="3" t="s">
        <v>437</v>
      </c>
      <c r="B234" s="3" t="n">
        <v>701</v>
      </c>
      <c r="C234" s="3" t="n">
        <f aca="false">238*SQRT(4)</f>
        <v>476</v>
      </c>
      <c r="D234" s="3"/>
      <c r="H234" s="4"/>
      <c r="I234" s="4"/>
      <c r="J234" s="4"/>
      <c r="K234" s="3" t="n">
        <v>0</v>
      </c>
    </row>
    <row r="235" customFormat="false" ht="15" hidden="false" customHeight="false" outlineLevel="0" collapsed="false">
      <c r="A235" s="3" t="s">
        <v>361</v>
      </c>
      <c r="B235" s="3" t="n">
        <v>161</v>
      </c>
      <c r="C235" s="3" t="n">
        <f aca="false">43*SQRT(4)</f>
        <v>86</v>
      </c>
      <c r="D235" s="3"/>
      <c r="H235" s="4"/>
      <c r="I235" s="4"/>
      <c r="J235" s="4"/>
      <c r="K235" s="3" t="n">
        <v>0</v>
      </c>
    </row>
    <row r="236" customFormat="false" ht="15" hidden="false" customHeight="false" outlineLevel="0" collapsed="false">
      <c r="A236" s="3" t="s">
        <v>438</v>
      </c>
      <c r="B236" s="3" t="n">
        <v>261</v>
      </c>
      <c r="C236" s="3" t="n">
        <f aca="false">65*SQRT(4)</f>
        <v>130</v>
      </c>
      <c r="D236" s="3"/>
      <c r="H236" s="4"/>
      <c r="I236" s="4"/>
      <c r="J236" s="4"/>
      <c r="K236" s="3" t="n">
        <v>0</v>
      </c>
    </row>
    <row r="237" customFormat="false" ht="15" hidden="false" customHeight="false" outlineLevel="0" collapsed="false">
      <c r="A237" s="3" t="s">
        <v>439</v>
      </c>
      <c r="B237" s="3" t="n">
        <v>32</v>
      </c>
      <c r="C237" s="3" t="n">
        <f aca="false">15*SQRT(4)</f>
        <v>30</v>
      </c>
      <c r="D237" s="3"/>
      <c r="H237" s="4"/>
      <c r="I237" s="4"/>
      <c r="J237" s="4"/>
      <c r="K237" s="3" t="n">
        <v>0</v>
      </c>
    </row>
    <row r="238" customFormat="false" ht="15" hidden="false" customHeight="false" outlineLevel="0" collapsed="false">
      <c r="A238" s="3" t="s">
        <v>440</v>
      </c>
      <c r="B238" s="3" t="n">
        <v>28</v>
      </c>
      <c r="C238" s="3" t="n">
        <f aca="false">14*SQRT(4)</f>
        <v>28</v>
      </c>
      <c r="D238" s="3"/>
      <c r="H238" s="4"/>
      <c r="I238" s="4"/>
      <c r="J238" s="4"/>
      <c r="K238" s="3" t="n">
        <v>0</v>
      </c>
    </row>
    <row r="239" customFormat="false" ht="15" hidden="false" customHeight="false" outlineLevel="0" collapsed="false">
      <c r="A239" s="12" t="s">
        <v>441</v>
      </c>
      <c r="B239" s="3" t="n">
        <v>96</v>
      </c>
      <c r="C239" s="3" t="n">
        <f aca="false">MIN(68*SQRT(4),B239)</f>
        <v>96</v>
      </c>
      <c r="D239" s="3"/>
      <c r="H239" s="4"/>
      <c r="I239" s="4"/>
      <c r="J239" s="4"/>
      <c r="K239" s="3" t="n">
        <v>0</v>
      </c>
    </row>
    <row r="240" customFormat="false" ht="15" hidden="false" customHeight="false" outlineLevel="0" collapsed="false">
      <c r="A240" s="3" t="s">
        <v>442</v>
      </c>
      <c r="B240" s="3" t="n">
        <v>41</v>
      </c>
      <c r="C240" s="3" t="n">
        <f aca="false">18*SQRT(4)</f>
        <v>36</v>
      </c>
      <c r="D240" s="3"/>
      <c r="H240" s="4"/>
      <c r="I240" s="4"/>
      <c r="J240" s="4"/>
      <c r="K240" s="3" t="n">
        <v>0</v>
      </c>
    </row>
    <row r="241" customFormat="false" ht="15" hidden="false" customHeight="false" outlineLevel="0" collapsed="false">
      <c r="A241" s="3" t="s">
        <v>443</v>
      </c>
      <c r="B241" s="3" t="n">
        <v>105</v>
      </c>
      <c r="C241" s="3" t="n">
        <f aca="false">32*SQRT(4)</f>
        <v>64</v>
      </c>
      <c r="D241" s="3"/>
      <c r="H241" s="4"/>
      <c r="I241" s="4"/>
      <c r="J241" s="4"/>
      <c r="K241" s="3" t="n">
        <v>0</v>
      </c>
    </row>
    <row r="242" customFormat="false" ht="15" hidden="false" customHeight="false" outlineLevel="0" collapsed="false">
      <c r="A242" s="3" t="s">
        <v>444</v>
      </c>
      <c r="B242" s="3" t="n">
        <v>141</v>
      </c>
      <c r="C242" s="9" t="n">
        <f aca="false">33*SQRT(4)</f>
        <v>66</v>
      </c>
      <c r="D242" s="3"/>
      <c r="H242" s="4"/>
      <c r="I242" s="4"/>
      <c r="J242" s="4"/>
      <c r="K242" s="3" t="n">
        <v>0</v>
      </c>
    </row>
    <row r="243" customFormat="false" ht="15" hidden="false" customHeight="false" outlineLevel="0" collapsed="false">
      <c r="A243" s="3" t="s">
        <v>445</v>
      </c>
      <c r="B243" s="3" t="n">
        <v>123</v>
      </c>
      <c r="C243" s="3" t="n">
        <f aca="false">16*SQRT(4)</f>
        <v>32</v>
      </c>
      <c r="D243" s="3"/>
      <c r="H243" s="4"/>
      <c r="I243" s="4"/>
      <c r="J243" s="4"/>
      <c r="K243" s="3" t="n">
        <v>0</v>
      </c>
    </row>
    <row r="244" customFormat="false" ht="15" hidden="false" customHeight="false" outlineLevel="0" collapsed="false">
      <c r="A244" s="3" t="s">
        <v>446</v>
      </c>
      <c r="B244" s="3" t="n">
        <v>102</v>
      </c>
      <c r="C244" s="3" t="n">
        <f aca="false">37*SQRT(4)</f>
        <v>74</v>
      </c>
      <c r="D244" s="3"/>
      <c r="H244" s="4"/>
      <c r="I244" s="4"/>
      <c r="J244" s="4"/>
      <c r="K244" s="3" t="n">
        <v>0</v>
      </c>
    </row>
    <row r="245" customFormat="false" ht="15" hidden="false" customHeight="false" outlineLevel="0" collapsed="false">
      <c r="A245" s="3" t="s">
        <v>447</v>
      </c>
      <c r="B245" s="3" t="n">
        <v>49</v>
      </c>
      <c r="C245" s="3" t="n">
        <f aca="false">18*SQRT(4)</f>
        <v>36</v>
      </c>
      <c r="D245" s="3"/>
      <c r="H245" s="4"/>
      <c r="I245" s="4"/>
      <c r="J245" s="4"/>
      <c r="K245" s="3" t="n">
        <v>0</v>
      </c>
    </row>
    <row r="246" customFormat="false" ht="15" hidden="false" customHeight="false" outlineLevel="0" collapsed="false">
      <c r="A246" s="3" t="s">
        <v>448</v>
      </c>
      <c r="B246" s="3" t="n">
        <v>539</v>
      </c>
      <c r="C246" s="3" t="n">
        <f aca="false">225*SQRT(4)</f>
        <v>450</v>
      </c>
      <c r="D246" s="3"/>
      <c r="H246" s="4"/>
      <c r="I246" s="4"/>
      <c r="J246" s="4"/>
      <c r="K246" s="3" t="n">
        <v>0</v>
      </c>
    </row>
    <row r="247" customFormat="false" ht="15" hidden="false" customHeight="false" outlineLevel="0" collapsed="false">
      <c r="A247" s="3" t="s">
        <v>449</v>
      </c>
      <c r="B247" s="3" t="n">
        <v>186</v>
      </c>
      <c r="C247" s="3" t="n">
        <f aca="false">87*SQRT(4)</f>
        <v>174</v>
      </c>
      <c r="D247" s="3"/>
      <c r="H247" s="4"/>
      <c r="I247" s="4"/>
      <c r="J247" s="4"/>
      <c r="K247" s="3" t="n">
        <v>0</v>
      </c>
    </row>
    <row r="248" customFormat="false" ht="15" hidden="false" customHeight="false" outlineLevel="0" collapsed="false">
      <c r="A248" s="3" t="s">
        <v>450</v>
      </c>
      <c r="B248" s="3" t="n">
        <v>79</v>
      </c>
      <c r="C248" s="3" t="n">
        <f aca="false">36*SQRT(4)</f>
        <v>72</v>
      </c>
      <c r="D248" s="3"/>
      <c r="H248" s="4"/>
      <c r="I248" s="4"/>
      <c r="J248" s="4"/>
      <c r="K248" s="3" t="n">
        <v>0</v>
      </c>
    </row>
    <row r="249" customFormat="false" ht="15" hidden="false" customHeight="false" outlineLevel="0" collapsed="false">
      <c r="A249" s="3" t="s">
        <v>451</v>
      </c>
      <c r="B249" s="3" t="n">
        <v>283</v>
      </c>
      <c r="C249" s="3" t="n">
        <f aca="false">61*SQRT(4)</f>
        <v>122</v>
      </c>
      <c r="D249" s="3"/>
      <c r="H249" s="4"/>
      <c r="I249" s="4"/>
      <c r="J249" s="4"/>
      <c r="K249" s="3" t="n">
        <v>0</v>
      </c>
    </row>
    <row r="250" customFormat="false" ht="15" hidden="false" customHeight="false" outlineLevel="0" collapsed="false">
      <c r="A250" s="3" t="s">
        <v>452</v>
      </c>
      <c r="B250" s="3" t="n">
        <v>385</v>
      </c>
      <c r="C250" s="3" t="n">
        <f aca="false">145*SQRT(4)</f>
        <v>290</v>
      </c>
      <c r="D250" s="3"/>
      <c r="H250" s="4"/>
      <c r="I250" s="4"/>
      <c r="J250" s="4"/>
      <c r="K250" s="3" t="n">
        <v>0</v>
      </c>
    </row>
    <row r="251" customFormat="false" ht="15" hidden="false" customHeight="false" outlineLevel="0" collapsed="false">
      <c r="A251" s="3" t="s">
        <v>453</v>
      </c>
      <c r="B251" s="3" t="n">
        <v>888</v>
      </c>
      <c r="C251" s="3" t="n">
        <f aca="false">172*SQRT(4)</f>
        <v>344</v>
      </c>
      <c r="D251" s="3"/>
      <c r="H251" s="4"/>
      <c r="I251" s="4"/>
      <c r="J251" s="4"/>
      <c r="K251" s="3" t="n">
        <v>0</v>
      </c>
    </row>
    <row r="252" customFormat="false" ht="15" hidden="false" customHeight="false" outlineLevel="0" collapsed="false">
      <c r="A252" s="3" t="s">
        <v>454</v>
      </c>
      <c r="B252" s="3" t="n">
        <v>115</v>
      </c>
      <c r="C252" s="3" t="n">
        <f aca="false">40*SQRT(4)</f>
        <v>80</v>
      </c>
      <c r="D252" s="3"/>
      <c r="H252" s="4"/>
      <c r="I252" s="4"/>
      <c r="J252" s="4"/>
      <c r="K252" s="3" t="n">
        <v>0</v>
      </c>
    </row>
    <row r="253" customFormat="false" ht="15" hidden="false" customHeight="false" outlineLevel="0" collapsed="false">
      <c r="A253" s="12" t="s">
        <v>455</v>
      </c>
      <c r="B253" s="3" t="n">
        <v>344</v>
      </c>
      <c r="C253" s="3" t="n">
        <f aca="false">113*SQRT(4)</f>
        <v>226</v>
      </c>
      <c r="D253" s="3"/>
      <c r="H253" s="4"/>
      <c r="I253" s="4"/>
      <c r="J253" s="4"/>
      <c r="K253" s="3" t="n">
        <v>0</v>
      </c>
    </row>
    <row r="254" customFormat="false" ht="15" hidden="false" customHeight="false" outlineLevel="0" collapsed="false">
      <c r="A254" s="12" t="s">
        <v>456</v>
      </c>
      <c r="B254" s="12" t="n">
        <v>344</v>
      </c>
      <c r="C254" s="3" t="n">
        <f aca="false">113*SQRT(4)</f>
        <v>226</v>
      </c>
      <c r="D254" s="3"/>
      <c r="H254" s="4"/>
      <c r="I254" s="4"/>
      <c r="J254" s="4"/>
      <c r="K254" s="12" t="n">
        <v>0</v>
      </c>
    </row>
    <row r="255" customFormat="false" ht="15" hidden="false" customHeight="false" outlineLevel="0" collapsed="false">
      <c r="A255" s="3" t="s">
        <v>457</v>
      </c>
      <c r="B255" s="3" t="n">
        <v>101</v>
      </c>
      <c r="C255" s="3" t="n">
        <f aca="false">64*SQRT(4)</f>
        <v>128</v>
      </c>
      <c r="D255" s="3"/>
      <c r="H255" s="4"/>
      <c r="I255" s="4"/>
      <c r="J255" s="4"/>
      <c r="K255" s="3" t="n">
        <v>0</v>
      </c>
    </row>
    <row r="256" customFormat="false" ht="15" hidden="false" customHeight="false" outlineLevel="0" collapsed="false">
      <c r="A256" s="3" t="s">
        <v>458</v>
      </c>
      <c r="B256" s="3" t="n">
        <v>154</v>
      </c>
      <c r="C256" s="3" t="n">
        <f aca="false">35*SQRT(4)</f>
        <v>70</v>
      </c>
      <c r="D256" s="3"/>
      <c r="H256" s="4"/>
      <c r="I256" s="4"/>
      <c r="J256" s="4"/>
      <c r="K256" s="3" t="n">
        <v>0</v>
      </c>
    </row>
    <row r="257" customFormat="false" ht="15" hidden="false" customHeight="false" outlineLevel="0" collapsed="false">
      <c r="A257" s="3" t="s">
        <v>459</v>
      </c>
      <c r="B257" s="3" t="n">
        <v>92</v>
      </c>
      <c r="C257" s="3" t="n">
        <f aca="false">26*SQRT(4)</f>
        <v>52</v>
      </c>
      <c r="D257" s="3"/>
      <c r="H257" s="4"/>
      <c r="I257" s="4"/>
      <c r="J257" s="4"/>
      <c r="K257" s="3" t="n">
        <v>0</v>
      </c>
    </row>
    <row r="258" customFormat="false" ht="15" hidden="false" customHeight="false" outlineLevel="0" collapsed="false">
      <c r="A258" s="3" t="s">
        <v>460</v>
      </c>
      <c r="B258" s="3" t="n">
        <v>355</v>
      </c>
      <c r="C258" s="3" t="n">
        <f aca="false">109*SQRT(4)</f>
        <v>218</v>
      </c>
      <c r="D258" s="3"/>
      <c r="H258" s="4"/>
      <c r="I258" s="4"/>
      <c r="J258" s="4"/>
      <c r="K258" s="3" t="n">
        <v>0</v>
      </c>
    </row>
    <row r="259" customFormat="false" ht="15" hidden="false" customHeight="false" outlineLevel="0" collapsed="false">
      <c r="A259" s="3" t="s">
        <v>461</v>
      </c>
      <c r="B259" s="3" t="n">
        <v>0</v>
      </c>
      <c r="C259" s="3" t="n">
        <v>0</v>
      </c>
      <c r="D259" s="3"/>
      <c r="H259" s="4"/>
      <c r="I259" s="4"/>
      <c r="J259" s="4"/>
      <c r="K259" s="3" t="n">
        <v>0</v>
      </c>
    </row>
    <row r="260" customFormat="false" ht="15" hidden="false" customHeight="false" outlineLevel="0" collapsed="false">
      <c r="A260" s="3" t="s">
        <v>462</v>
      </c>
      <c r="B260" s="3" t="n">
        <v>1768</v>
      </c>
      <c r="C260" s="3" t="n">
        <f aca="false">257*SQRT(4)</f>
        <v>514</v>
      </c>
      <c r="D260" s="3"/>
      <c r="H260" s="4"/>
      <c r="I260" s="4"/>
      <c r="J260" s="4"/>
      <c r="K260" s="3" t="n">
        <v>0</v>
      </c>
    </row>
    <row r="261" customFormat="false" ht="15" hidden="false" customHeight="false" outlineLevel="0" collapsed="false">
      <c r="A261" s="12" t="s">
        <v>373</v>
      </c>
      <c r="B261" s="3" t="n">
        <v>1352</v>
      </c>
      <c r="C261" s="3" t="n">
        <f aca="false">320*SQRT(4)</f>
        <v>640</v>
      </c>
      <c r="D261" s="3"/>
      <c r="H261" s="4"/>
      <c r="I261" s="4"/>
      <c r="J261" s="4"/>
      <c r="K261" s="3" t="n">
        <v>0</v>
      </c>
    </row>
    <row r="262" customFormat="false" ht="15" hidden="false" customHeight="false" outlineLevel="0" collapsed="false">
      <c r="A262" s="3" t="s">
        <v>463</v>
      </c>
      <c r="B262" s="3" t="n">
        <v>766</v>
      </c>
      <c r="C262" s="3" t="n">
        <f aca="false">214*SQRT(4)</f>
        <v>428</v>
      </c>
      <c r="D262" s="3"/>
      <c r="H262" s="4"/>
      <c r="I262" s="4"/>
      <c r="J262" s="4"/>
      <c r="K262" s="3" t="n">
        <v>0</v>
      </c>
    </row>
    <row r="263" customFormat="false" ht="15" hidden="false" customHeight="false" outlineLevel="0" collapsed="false">
      <c r="A263" s="3" t="s">
        <v>464</v>
      </c>
      <c r="B263" s="3" t="n">
        <v>671</v>
      </c>
      <c r="C263" s="3" t="n">
        <f aca="false">391*SQRT(4)</f>
        <v>782</v>
      </c>
      <c r="D263" s="3"/>
      <c r="H263" s="4"/>
      <c r="I263" s="4"/>
      <c r="J263" s="4"/>
      <c r="K263" s="3" t="n">
        <v>0</v>
      </c>
    </row>
    <row r="264" customFormat="false" ht="15" hidden="false" customHeight="false" outlineLevel="0" collapsed="false">
      <c r="A264" s="3" t="s">
        <v>465</v>
      </c>
      <c r="B264" s="3" t="n">
        <v>572</v>
      </c>
      <c r="C264" s="3" t="n">
        <f aca="false">254*SQRT(4)</f>
        <v>508</v>
      </c>
      <c r="D264" s="3"/>
      <c r="H264" s="4"/>
      <c r="I264" s="4"/>
      <c r="J264" s="4"/>
      <c r="K264" s="3" t="n">
        <v>0</v>
      </c>
    </row>
    <row r="265" customFormat="false" ht="15" hidden="false" customHeight="false" outlineLevel="0" collapsed="false">
      <c r="A265" s="3" t="s">
        <v>466</v>
      </c>
      <c r="B265" s="3" t="n">
        <v>231</v>
      </c>
      <c r="C265" s="3" t="n">
        <f aca="false">148*SQRT(4)</f>
        <v>296</v>
      </c>
      <c r="D265" s="3"/>
      <c r="H265" s="4"/>
      <c r="I265" s="4"/>
      <c r="J265" s="4"/>
      <c r="K265" s="3" t="n">
        <v>0</v>
      </c>
    </row>
    <row r="266" customFormat="false" ht="15" hidden="false" customHeight="false" outlineLevel="0" collapsed="false">
      <c r="A266" s="12" t="s">
        <v>467</v>
      </c>
      <c r="B266" s="3" t="n">
        <v>196</v>
      </c>
      <c r="C266" s="9" t="n">
        <f aca="false">79*SQRT(4)</f>
        <v>158</v>
      </c>
      <c r="D266" s="3"/>
      <c r="H266" s="4"/>
      <c r="I266" s="4"/>
      <c r="J266" s="4"/>
      <c r="K266" s="3" t="n">
        <v>0</v>
      </c>
    </row>
    <row r="267" customFormat="false" ht="15" hidden="false" customHeight="false" outlineLevel="0" collapsed="false">
      <c r="A267" s="12" t="s">
        <v>468</v>
      </c>
      <c r="B267" s="12" t="n">
        <v>196</v>
      </c>
      <c r="C267" s="9" t="n">
        <f aca="false">79*SQRT(4)</f>
        <v>158</v>
      </c>
      <c r="D267" s="3"/>
      <c r="H267" s="4"/>
      <c r="I267" s="4"/>
      <c r="J267" s="4"/>
      <c r="K267" s="12" t="n">
        <v>0</v>
      </c>
    </row>
    <row r="268" customFormat="false" ht="15" hidden="false" customHeight="false" outlineLevel="0" collapsed="false">
      <c r="A268" s="3" t="s">
        <v>469</v>
      </c>
      <c r="B268" s="3" t="n">
        <v>341</v>
      </c>
      <c r="C268" s="3" t="n">
        <f aca="false">140*SQRT(4)</f>
        <v>280</v>
      </c>
      <c r="D268" s="3"/>
      <c r="H268" s="4"/>
      <c r="I268" s="4"/>
      <c r="J268" s="4"/>
      <c r="K268" s="3" t="n">
        <v>0</v>
      </c>
    </row>
    <row r="269" customFormat="false" ht="15" hidden="false" customHeight="false" outlineLevel="0" collapsed="false">
      <c r="A269" s="3" t="s">
        <v>470</v>
      </c>
      <c r="B269" s="3" t="n">
        <v>556</v>
      </c>
      <c r="C269" s="3" t="n">
        <f aca="false">313*SQRT(4)</f>
        <v>626</v>
      </c>
      <c r="D269" s="3"/>
      <c r="H269" s="4"/>
      <c r="I269" s="4"/>
      <c r="J269" s="4"/>
      <c r="K269" s="3" t="n">
        <v>0</v>
      </c>
    </row>
    <row r="270" customFormat="false" ht="15" hidden="false" customHeight="false" outlineLevel="0" collapsed="false">
      <c r="A270" s="3" t="s">
        <v>471</v>
      </c>
      <c r="B270" s="3" t="n">
        <v>101</v>
      </c>
      <c r="C270" s="3" t="n">
        <f aca="false">64*SQRT(4)</f>
        <v>128</v>
      </c>
      <c r="D270" s="3"/>
      <c r="H270" s="4"/>
      <c r="I270" s="4"/>
      <c r="J270" s="4"/>
      <c r="K270" s="3" t="n">
        <v>0</v>
      </c>
    </row>
    <row r="271" customFormat="false" ht="15" hidden="false" customHeight="false" outlineLevel="0" collapsed="false">
      <c r="A271" s="3" t="s">
        <v>472</v>
      </c>
      <c r="B271" s="3" t="n">
        <v>464</v>
      </c>
      <c r="C271" s="3" t="n">
        <f aca="false">139*SQRT(4)</f>
        <v>278</v>
      </c>
      <c r="D271" s="3"/>
      <c r="H271" s="4"/>
      <c r="I271" s="4"/>
      <c r="J271" s="4"/>
      <c r="K271" s="3" t="n">
        <v>0</v>
      </c>
    </row>
    <row r="272" customFormat="false" ht="15" hidden="false" customHeight="false" outlineLevel="0" collapsed="false">
      <c r="A272" s="3" t="s">
        <v>473</v>
      </c>
      <c r="B272" s="3" t="n">
        <v>704</v>
      </c>
      <c r="C272" s="3" t="n">
        <f aca="false">238*SQRT(4)</f>
        <v>476</v>
      </c>
      <c r="D272" s="3"/>
      <c r="H272" s="4"/>
      <c r="I272" s="4"/>
      <c r="J272" s="4"/>
      <c r="K272" s="3" t="n">
        <v>0</v>
      </c>
    </row>
    <row r="273" customFormat="false" ht="15" hidden="false" customHeight="false" outlineLevel="0" collapsed="false">
      <c r="A273" s="12" t="s">
        <v>474</v>
      </c>
      <c r="B273" s="3" t="n">
        <v>178</v>
      </c>
      <c r="C273" s="3" t="n">
        <f aca="false">75*SQRT(4)</f>
        <v>150</v>
      </c>
      <c r="D273" s="3"/>
      <c r="H273" s="4"/>
      <c r="I273" s="4"/>
      <c r="J273" s="4"/>
      <c r="K273" s="3" t="n">
        <v>0</v>
      </c>
    </row>
    <row r="274" customFormat="false" ht="15" hidden="false" customHeight="false" outlineLevel="0" collapsed="false">
      <c r="A274" s="3" t="s">
        <v>475</v>
      </c>
      <c r="B274" s="3" t="n">
        <v>663</v>
      </c>
      <c r="C274" s="3" t="n">
        <f aca="false">209*SQRT(4)</f>
        <v>418</v>
      </c>
      <c r="D274" s="3"/>
      <c r="H274" s="4"/>
      <c r="I274" s="4"/>
      <c r="J274" s="4"/>
      <c r="K274" s="3" t="n">
        <v>0</v>
      </c>
    </row>
    <row r="275" customFormat="false" ht="15" hidden="false" customHeight="false" outlineLevel="0" collapsed="false">
      <c r="A275" s="3" t="s">
        <v>476</v>
      </c>
      <c r="B275" s="3" t="n">
        <v>517</v>
      </c>
      <c r="C275" s="3" t="n">
        <f aca="false">96*SQRT(4)</f>
        <v>192</v>
      </c>
      <c r="D275" s="3"/>
      <c r="H275" s="4"/>
      <c r="I275" s="4"/>
      <c r="J275" s="4"/>
      <c r="K275" s="3" t="n">
        <v>0</v>
      </c>
    </row>
    <row r="276" customFormat="false" ht="15" hidden="false" customHeight="false" outlineLevel="0" collapsed="false">
      <c r="A276" s="3" t="s">
        <v>477</v>
      </c>
      <c r="B276" s="3" t="n">
        <v>372</v>
      </c>
      <c r="C276" s="3" t="n">
        <f aca="false">110*SQRT(4)</f>
        <v>220</v>
      </c>
      <c r="D276" s="3"/>
      <c r="H276" s="4"/>
      <c r="I276" s="4"/>
      <c r="J276" s="4"/>
      <c r="K276" s="3" t="n">
        <v>0</v>
      </c>
    </row>
    <row r="277" customFormat="false" ht="15" hidden="false" customHeight="false" outlineLevel="0" collapsed="false">
      <c r="A277" s="3" t="s">
        <v>478</v>
      </c>
      <c r="B277" s="3" t="n">
        <v>471</v>
      </c>
      <c r="C277" s="3" t="n">
        <f aca="false">173*SQRT(4)</f>
        <v>346</v>
      </c>
      <c r="D277" s="3"/>
      <c r="H277" s="4"/>
      <c r="I277" s="4"/>
      <c r="J277" s="4"/>
      <c r="K277" s="3" t="n">
        <v>0</v>
      </c>
    </row>
    <row r="278" customFormat="false" ht="15" hidden="false" customHeight="false" outlineLevel="0" collapsed="false">
      <c r="A278" s="3" t="s">
        <v>479</v>
      </c>
      <c r="B278" s="3" t="n">
        <v>478</v>
      </c>
      <c r="C278" s="3" t="n">
        <f aca="false">91*SQRT(4)</f>
        <v>182</v>
      </c>
      <c r="D278" s="3"/>
      <c r="H278" s="4"/>
      <c r="I278" s="4"/>
      <c r="J278" s="4"/>
      <c r="K278" s="3" t="n">
        <v>0</v>
      </c>
    </row>
    <row r="279" customFormat="false" ht="15" hidden="false" customHeight="false" outlineLevel="0" collapsed="false">
      <c r="A279" s="3" t="s">
        <v>480</v>
      </c>
      <c r="B279" s="3" t="n">
        <v>1690</v>
      </c>
      <c r="C279" s="3" t="n">
        <f aca="false">140*SQRT(4)</f>
        <v>280</v>
      </c>
      <c r="D279" s="3"/>
      <c r="H279" s="4"/>
      <c r="I279" s="4"/>
      <c r="J279" s="4"/>
      <c r="K279" s="3" t="n">
        <v>0</v>
      </c>
    </row>
    <row r="280" customFormat="false" ht="15" hidden="false" customHeight="false" outlineLevel="0" collapsed="false">
      <c r="A280" s="3" t="s">
        <v>481</v>
      </c>
      <c r="B280" s="3" t="n">
        <v>576</v>
      </c>
      <c r="C280" s="3" t="n">
        <f aca="false">58*SQRT(4)</f>
        <v>116</v>
      </c>
      <c r="D280" s="3"/>
      <c r="H280" s="4"/>
      <c r="I280" s="4"/>
      <c r="J280" s="4"/>
      <c r="K280" s="3" t="n">
        <v>0</v>
      </c>
    </row>
    <row r="281" customFormat="false" ht="15" hidden="false" customHeight="false" outlineLevel="0" collapsed="false">
      <c r="A281" s="3" t="s">
        <v>482</v>
      </c>
      <c r="B281" s="3" t="n">
        <v>245</v>
      </c>
      <c r="C281" s="3" t="n">
        <f aca="false">63*SQRT(4)</f>
        <v>126</v>
      </c>
      <c r="D281" s="3"/>
      <c r="H281" s="4"/>
      <c r="I281" s="4"/>
      <c r="J281" s="4"/>
      <c r="K281" s="3" t="n">
        <v>0</v>
      </c>
    </row>
    <row r="282" customFormat="false" ht="15" hidden="false" customHeight="false" outlineLevel="0" collapsed="false">
      <c r="A282" s="3" t="s">
        <v>483</v>
      </c>
      <c r="B282" s="3" t="n">
        <v>1324</v>
      </c>
      <c r="C282" s="3" t="n">
        <f aca="false">126*SQRT(4)</f>
        <v>252</v>
      </c>
      <c r="D282" s="3"/>
      <c r="H282" s="4"/>
      <c r="I282" s="4"/>
      <c r="J282" s="4"/>
      <c r="K282" s="3" t="n">
        <v>0</v>
      </c>
    </row>
    <row r="283" customFormat="false" ht="15" hidden="false" customHeight="false" outlineLevel="0" collapsed="false">
      <c r="A283" s="3" t="s">
        <v>484</v>
      </c>
      <c r="B283" s="3" t="n">
        <v>304</v>
      </c>
      <c r="C283" s="3" t="n">
        <f aca="false">30*SQRT(4)</f>
        <v>60</v>
      </c>
      <c r="D283" s="3"/>
      <c r="H283" s="4"/>
      <c r="I283" s="4"/>
      <c r="J283" s="4"/>
      <c r="K283" s="3" t="n">
        <v>0</v>
      </c>
    </row>
    <row r="284" customFormat="false" ht="15" hidden="false" customHeight="false" outlineLevel="0" collapsed="false">
      <c r="A284" s="3" t="s">
        <v>485</v>
      </c>
      <c r="B284" s="3" t="n">
        <v>923</v>
      </c>
      <c r="C284" s="3" t="n">
        <f aca="false">259*SQRT(4)</f>
        <v>518</v>
      </c>
      <c r="D284" s="3"/>
      <c r="H284" s="4"/>
      <c r="I284" s="4"/>
      <c r="J284" s="4"/>
      <c r="K284" s="3" t="n">
        <v>0</v>
      </c>
    </row>
    <row r="285" customFormat="false" ht="15" hidden="false" customHeight="true" outlineLevel="0" collapsed="false">
      <c r="A285" s="3" t="s">
        <v>27</v>
      </c>
      <c r="B285" s="3" t="n">
        <v>5796.5</v>
      </c>
      <c r="C285" s="3" t="n">
        <v>761.8</v>
      </c>
      <c r="H285" s="4" t="s">
        <v>486</v>
      </c>
      <c r="I285" s="4" t="s">
        <v>487</v>
      </c>
      <c r="J285" s="4" t="s">
        <v>488</v>
      </c>
      <c r="K285" s="3" t="n">
        <v>0</v>
      </c>
    </row>
    <row r="286" customFormat="false" ht="15" hidden="false" customHeight="false" outlineLevel="0" collapsed="false">
      <c r="A286" s="9" t="s">
        <v>28</v>
      </c>
      <c r="B286" s="3" t="n">
        <v>2654.8</v>
      </c>
      <c r="C286" s="3" t="n">
        <v>475.5</v>
      </c>
      <c r="H286" s="4"/>
      <c r="I286" s="4"/>
      <c r="J286" s="4"/>
      <c r="K286" s="3" t="n">
        <v>0</v>
      </c>
    </row>
    <row r="287" customFormat="false" ht="15" hidden="false" customHeight="false" outlineLevel="0" collapsed="false">
      <c r="A287" s="3" t="s">
        <v>364</v>
      </c>
      <c r="B287" s="3" t="n">
        <v>4318.101</v>
      </c>
      <c r="C287" s="3" t="n">
        <v>591.324</v>
      </c>
      <c r="H287" s="4"/>
      <c r="I287" s="4"/>
      <c r="J287" s="4"/>
      <c r="K287" s="3" t="n">
        <v>0</v>
      </c>
    </row>
    <row r="288" customFormat="false" ht="15" hidden="false" customHeight="true" outlineLevel="0" collapsed="false">
      <c r="A288" s="3" t="s">
        <v>79</v>
      </c>
      <c r="B288" s="3" t="n">
        <f aca="false">21298/11.609977324263</f>
        <v>1834.456641</v>
      </c>
      <c r="C288" s="3" t="n">
        <f aca="false">948/11.609977324263</f>
        <v>81.65390625</v>
      </c>
      <c r="H288" s="4" t="s">
        <v>489</v>
      </c>
      <c r="I288" s="4" t="s">
        <v>490</v>
      </c>
      <c r="J288" s="4" t="s">
        <v>491</v>
      </c>
      <c r="K288" s="3" t="n">
        <v>0</v>
      </c>
    </row>
    <row r="289" customFormat="false" ht="15" hidden="false" customHeight="false" outlineLevel="0" collapsed="false">
      <c r="A289" s="3" t="s">
        <v>166</v>
      </c>
      <c r="B289" s="3" t="n">
        <f aca="false">122203/26.441018766756</f>
        <v>4621.720558</v>
      </c>
      <c r="C289" s="3" t="n">
        <f aca="false">4497/26.441018766756</f>
        <v>170.076654</v>
      </c>
      <c r="H289" s="4"/>
      <c r="I289" s="4"/>
      <c r="J289" s="4"/>
      <c r="K289" s="3" t="n">
        <v>0</v>
      </c>
    </row>
    <row r="290" customFormat="false" ht="15" hidden="false" customHeight="false" outlineLevel="0" collapsed="false">
      <c r="A290" s="3" t="s">
        <v>45</v>
      </c>
      <c r="B290" s="3" t="n">
        <f aca="false">6572/1.59100491918482</f>
        <v>4130.722615</v>
      </c>
      <c r="C290" s="3" t="n">
        <f aca="false">248/1.59100491918482</f>
        <v>155.8763251</v>
      </c>
      <c r="H290" s="4"/>
      <c r="I290" s="4"/>
      <c r="J290" s="4"/>
      <c r="K290" s="3" t="n">
        <v>0</v>
      </c>
    </row>
    <row r="291" customFormat="false" ht="15" hidden="false" customHeight="false" outlineLevel="0" collapsed="false">
      <c r="A291" s="3" t="s">
        <v>79</v>
      </c>
      <c r="B291" s="3" t="e">
        <f aca="false">12395/L291</f>
        <v>#DIV/0!</v>
      </c>
      <c r="C291" s="10" t="e">
        <f aca="false">1110.8/L291*SQRT(3)</f>
        <v>#DIV/0!</v>
      </c>
      <c r="H291" s="5" t="s">
        <v>492</v>
      </c>
      <c r="I291" s="3" t="s">
        <v>493</v>
      </c>
      <c r="J291" s="3" t="s">
        <v>494</v>
      </c>
      <c r="K291" s="3" t="n">
        <v>5</v>
      </c>
    </row>
    <row r="292" customFormat="false" ht="15" hidden="false" customHeight="false" outlineLevel="0" collapsed="false">
      <c r="A292" s="3" t="s">
        <v>79</v>
      </c>
      <c r="B292" s="10" t="n">
        <f aca="false">5609/9.17</f>
        <v>611.6684842</v>
      </c>
      <c r="C292" s="10" t="n">
        <f aca="false">157/9.17*SQRT(12)</f>
        <v>59.30904619</v>
      </c>
      <c r="H292" s="5" t="s">
        <v>495</v>
      </c>
      <c r="I292" s="3" t="s">
        <v>496</v>
      </c>
      <c r="J292" s="3" t="s">
        <v>497</v>
      </c>
      <c r="K292" s="3" t="n">
        <v>0</v>
      </c>
    </row>
    <row r="293" customFormat="false" ht="15" hidden="false" customHeight="true" outlineLevel="0" collapsed="false">
      <c r="A293" s="9" t="s">
        <v>326</v>
      </c>
      <c r="B293" s="3" t="n">
        <f aca="false">71.83/20*1000</f>
        <v>3591.5</v>
      </c>
      <c r="C293" s="3" t="n">
        <f aca="false">7.79/20*1000*SQRT(3)</f>
        <v>674.6337895</v>
      </c>
      <c r="D293" s="3" t="n">
        <f aca="false">63.01/20*1000</f>
        <v>3150.5</v>
      </c>
      <c r="E293" s="3" t="n">
        <f aca="false">9.7/20*1000*SQRT(3)</f>
        <v>840.0446417</v>
      </c>
      <c r="H293" s="4" t="s">
        <v>498</v>
      </c>
      <c r="I293" s="4" t="s">
        <v>499</v>
      </c>
      <c r="J293" s="17" t="s">
        <v>165</v>
      </c>
      <c r="K293" s="3" t="n">
        <v>0</v>
      </c>
    </row>
    <row r="294" customFormat="false" ht="15" hidden="false" customHeight="false" outlineLevel="0" collapsed="false">
      <c r="A294" s="9" t="s">
        <v>45</v>
      </c>
      <c r="B294" s="3" t="n">
        <f aca="false">110.84/20*1000</f>
        <v>5542</v>
      </c>
      <c r="C294" s="3" t="n">
        <f aca="false">13.3/20*1000*SQRT(3)</f>
        <v>1151.813787</v>
      </c>
      <c r="D294" s="3" t="n">
        <f aca="false">47.26/20*1000</f>
        <v>2363</v>
      </c>
      <c r="E294" s="3" t="n">
        <f aca="false">6.44/20*1000*SQRT(3)</f>
        <v>557.72036</v>
      </c>
      <c r="H294" s="4"/>
      <c r="I294" s="4"/>
      <c r="J294" s="4"/>
      <c r="K294" s="3" t="n">
        <v>0</v>
      </c>
    </row>
    <row r="295" customFormat="false" ht="15" hidden="false" customHeight="true" outlineLevel="0" collapsed="false">
      <c r="A295" s="3" t="s">
        <v>344</v>
      </c>
      <c r="B295" s="3" t="n">
        <v>10974</v>
      </c>
      <c r="C295" s="3" t="n">
        <v>2990</v>
      </c>
      <c r="H295" s="4" t="s">
        <v>500</v>
      </c>
      <c r="I295" s="4" t="s">
        <v>501</v>
      </c>
      <c r="J295" s="4" t="s">
        <v>387</v>
      </c>
      <c r="K295" s="3" t="n">
        <v>0</v>
      </c>
    </row>
    <row r="296" customFormat="false" ht="15" hidden="false" customHeight="false" outlineLevel="0" collapsed="false">
      <c r="A296" s="3" t="s">
        <v>341</v>
      </c>
      <c r="B296" s="3" t="n">
        <v>10765</v>
      </c>
      <c r="C296" s="3" t="n">
        <v>4281</v>
      </c>
      <c r="H296" s="4"/>
      <c r="I296" s="4"/>
      <c r="J296" s="4"/>
      <c r="K296" s="3" t="n">
        <v>0</v>
      </c>
    </row>
    <row r="297" customFormat="false" ht="15" hidden="false" customHeight="false" outlineLevel="0" collapsed="false">
      <c r="A297" s="3" t="s">
        <v>79</v>
      </c>
      <c r="D297" s="3" t="n">
        <v>945</v>
      </c>
      <c r="E297" s="3" t="n">
        <v>104</v>
      </c>
      <c r="H297" s="6" t="s">
        <v>502</v>
      </c>
      <c r="I297" s="6" t="s">
        <v>503</v>
      </c>
      <c r="J297" s="6" t="s">
        <v>387</v>
      </c>
      <c r="K297" s="3" t="n">
        <v>0</v>
      </c>
    </row>
    <row r="298" customFormat="false" ht="15" hidden="false" customHeight="false" outlineLevel="0" collapsed="false">
      <c r="A298" s="3" t="s">
        <v>15</v>
      </c>
      <c r="D298" s="3" t="n">
        <v>2529.26829268292</v>
      </c>
      <c r="E298" s="10" t="n">
        <f aca="false">2860.97560975609-D298</f>
        <v>331.7073171</v>
      </c>
      <c r="H298" s="6"/>
      <c r="I298" s="6"/>
      <c r="J298" s="6"/>
      <c r="K298" s="3" t="n">
        <v>0</v>
      </c>
    </row>
    <row r="299" customFormat="false" ht="15" hidden="false" customHeight="false" outlineLevel="0" collapsed="false">
      <c r="A299" s="3" t="s">
        <v>372</v>
      </c>
      <c r="D299" s="3" t="n">
        <v>2712.19512195121</v>
      </c>
      <c r="E299" s="10" t="n">
        <f aca="false">3168.29268292682-D299</f>
        <v>456.09756097561</v>
      </c>
      <c r="H299" s="6"/>
      <c r="I299" s="6"/>
      <c r="J299" s="6"/>
      <c r="K299" s="3" t="n">
        <v>0</v>
      </c>
    </row>
    <row r="300" customFormat="false" ht="15" hidden="false" customHeight="false" outlineLevel="0" collapsed="false">
      <c r="A300" s="3" t="s">
        <v>27</v>
      </c>
      <c r="D300" s="3" t="n">
        <v>2712.19512195121</v>
      </c>
      <c r="E300" s="10" t="n">
        <f aca="false">3168.29268292682-D300</f>
        <v>456.09756097561</v>
      </c>
      <c r="H300" s="6"/>
      <c r="I300" s="6"/>
      <c r="J300" s="6"/>
      <c r="K300" s="3" t="n">
        <v>0</v>
      </c>
    </row>
    <row r="301" customFormat="false" ht="15" hidden="false" customHeight="false" outlineLevel="0" collapsed="false">
      <c r="A301" s="3" t="s">
        <v>28</v>
      </c>
      <c r="D301" s="3" t="n">
        <v>1331.70731707317</v>
      </c>
      <c r="E301" s="10" t="n">
        <f aca="false">1775.60975609756-D301</f>
        <v>443.902439</v>
      </c>
      <c r="H301" s="6"/>
      <c r="I301" s="6"/>
      <c r="J301" s="6"/>
      <c r="K301" s="3" t="n">
        <v>0</v>
      </c>
    </row>
  </sheetData>
  <mergeCells count="72">
    <mergeCell ref="H2:H11"/>
    <mergeCell ref="I2:I11"/>
    <mergeCell ref="J2:J11"/>
    <mergeCell ref="H12:H15"/>
    <mergeCell ref="I12:I15"/>
    <mergeCell ref="J12:J15"/>
    <mergeCell ref="H17:H22"/>
    <mergeCell ref="I17:I22"/>
    <mergeCell ref="J17:J22"/>
    <mergeCell ref="H23:H43"/>
    <mergeCell ref="I23:I43"/>
    <mergeCell ref="J23:J43"/>
    <mergeCell ref="H44:H45"/>
    <mergeCell ref="I44:I45"/>
    <mergeCell ref="J44:J45"/>
    <mergeCell ref="H46:H49"/>
    <mergeCell ref="I46:I49"/>
    <mergeCell ref="J46:J49"/>
    <mergeCell ref="H50:H51"/>
    <mergeCell ref="I50:I51"/>
    <mergeCell ref="J50:J51"/>
    <mergeCell ref="H52:H57"/>
    <mergeCell ref="I52:I57"/>
    <mergeCell ref="J52:J57"/>
    <mergeCell ref="H58:H72"/>
    <mergeCell ref="I58:I72"/>
    <mergeCell ref="J58:J72"/>
    <mergeCell ref="H73:H101"/>
    <mergeCell ref="I73:I101"/>
    <mergeCell ref="J73:J101"/>
    <mergeCell ref="H102:H107"/>
    <mergeCell ref="I102:I107"/>
    <mergeCell ref="J102:J107"/>
    <mergeCell ref="H108:H129"/>
    <mergeCell ref="I108:I129"/>
    <mergeCell ref="J108:J129"/>
    <mergeCell ref="H130:H133"/>
    <mergeCell ref="I130:I133"/>
    <mergeCell ref="J130:J133"/>
    <mergeCell ref="H135:H137"/>
    <mergeCell ref="I135:I137"/>
    <mergeCell ref="J135:J137"/>
    <mergeCell ref="H138:H144"/>
    <mergeCell ref="I138:I144"/>
    <mergeCell ref="J138:J144"/>
    <mergeCell ref="H145:H146"/>
    <mergeCell ref="I145:I146"/>
    <mergeCell ref="J145:J146"/>
    <mergeCell ref="H147:H148"/>
    <mergeCell ref="I147:I148"/>
    <mergeCell ref="J147:J148"/>
    <mergeCell ref="H153:H155"/>
    <mergeCell ref="I153:I155"/>
    <mergeCell ref="J153:J155"/>
    <mergeCell ref="H156:H284"/>
    <mergeCell ref="I156:I284"/>
    <mergeCell ref="J156:J284"/>
    <mergeCell ref="H285:H287"/>
    <mergeCell ref="I285:I287"/>
    <mergeCell ref="J285:J287"/>
    <mergeCell ref="H288:H290"/>
    <mergeCell ref="I288:I290"/>
    <mergeCell ref="J288:J290"/>
    <mergeCell ref="H293:H294"/>
    <mergeCell ref="I293:I294"/>
    <mergeCell ref="J293:J294"/>
    <mergeCell ref="H295:H296"/>
    <mergeCell ref="I295:I296"/>
    <mergeCell ref="J295:J296"/>
    <mergeCell ref="H297:H301"/>
    <mergeCell ref="I297:I301"/>
    <mergeCell ref="J297:J301"/>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G17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35.71"/>
    <col collapsed="false" customWidth="true" hidden="false" outlineLevel="0" max="2" min="2" style="0" width="14.43"/>
    <col collapsed="false" customWidth="true" hidden="false" outlineLevel="0" max="3" min="3" style="0" width="15.42"/>
    <col collapsed="false" customWidth="true" hidden="false" outlineLevel="0" max="4" min="4" style="0" width="14.43"/>
    <col collapsed="false" customWidth="true" hidden="false" outlineLevel="0" max="5" min="5" style="0" width="98.57"/>
    <col collapsed="false" customWidth="true" hidden="false" outlineLevel="0" max="1025" min="6" style="0" width="14.43"/>
  </cols>
  <sheetData>
    <row r="1" customFormat="false" ht="15.75" hidden="false" customHeight="true" outlineLevel="0" collapsed="false">
      <c r="A1" s="10" t="s">
        <v>504</v>
      </c>
      <c r="B1" s="10" t="s">
        <v>505</v>
      </c>
      <c r="C1" s="10" t="s">
        <v>506</v>
      </c>
      <c r="D1" s="10" t="s">
        <v>507</v>
      </c>
      <c r="E1" s="10" t="s">
        <v>508</v>
      </c>
      <c r="F1" s="10" t="s">
        <v>509</v>
      </c>
      <c r="G1" s="10" t="s">
        <v>5</v>
      </c>
    </row>
    <row r="2" customFormat="false" ht="15.75" hidden="false" customHeight="true" outlineLevel="0" collapsed="false">
      <c r="A2" s="10" t="s">
        <v>79</v>
      </c>
      <c r="B2" s="10" t="s">
        <v>510</v>
      </c>
      <c r="C2" s="10" t="n">
        <f aca="false">0.7/100*2457451/41390296875*1000000000</f>
        <v>415.6084469</v>
      </c>
      <c r="E2" s="3" t="s">
        <v>511</v>
      </c>
      <c r="F2" s="10" t="s">
        <v>512</v>
      </c>
    </row>
    <row r="3" customFormat="false" ht="15.75" hidden="false" customHeight="true" outlineLevel="0" collapsed="false">
      <c r="B3" s="10" t="s">
        <v>513</v>
      </c>
      <c r="C3" s="10" t="n">
        <f aca="false">0.8/100*2457451/41390296875*1000000000</f>
        <v>474.9810821</v>
      </c>
    </row>
    <row r="4" customFormat="false" ht="15.75" hidden="false" customHeight="true" outlineLevel="0" collapsed="false">
      <c r="B4" s="10" t="s">
        <v>514</v>
      </c>
      <c r="C4" s="10" t="n">
        <f aca="false">0.5/100*2457451/41390296875*1000000000</f>
        <v>296.8631763</v>
      </c>
    </row>
    <row r="5" customFormat="false" ht="15.75" hidden="false" customHeight="true" outlineLevel="0" collapsed="false">
      <c r="B5" s="10" t="s">
        <v>515</v>
      </c>
      <c r="C5" s="10" t="n">
        <f aca="false">0.9/100*2457451/41390296875*1000000000</f>
        <v>534.3537174</v>
      </c>
      <c r="E5" s="10" t="s">
        <v>516</v>
      </c>
    </row>
    <row r="6" customFormat="false" ht="15.75" hidden="false" customHeight="true" outlineLevel="0" collapsed="false">
      <c r="A6" s="10" t="s">
        <v>517</v>
      </c>
      <c r="B6" s="10" t="s">
        <v>518</v>
      </c>
      <c r="C6" s="10"/>
      <c r="E6" s="4" t="s">
        <v>323</v>
      </c>
    </row>
    <row r="7" customFormat="false" ht="15.75" hidden="false" customHeight="true" outlineLevel="0" collapsed="false">
      <c r="B7" s="10" t="s">
        <v>510</v>
      </c>
      <c r="E7" s="4"/>
    </row>
    <row r="8" customFormat="false" ht="15.75" hidden="false" customHeight="true" outlineLevel="0" collapsed="false">
      <c r="A8" s="10" t="s">
        <v>519</v>
      </c>
      <c r="B8" s="10" t="s">
        <v>518</v>
      </c>
      <c r="E8" s="4"/>
    </row>
    <row r="9" customFormat="false" ht="15.75" hidden="false" customHeight="true" outlineLevel="0" collapsed="false">
      <c r="B9" s="10" t="s">
        <v>510</v>
      </c>
      <c r="E9" s="4"/>
    </row>
    <row r="10" customFormat="false" ht="15.75" hidden="false" customHeight="true" outlineLevel="0" collapsed="false">
      <c r="A10" s="13" t="s">
        <v>520</v>
      </c>
      <c r="B10" s="10" t="s">
        <v>514</v>
      </c>
      <c r="C10" s="18" t="n">
        <f aca="false">5 / 89 *  172167 / 3654109375*1000000000</f>
        <v>2646.966026</v>
      </c>
      <c r="D10" s="10" t="n">
        <f aca="false">C10/6.5*4</f>
        <v>1628.90217</v>
      </c>
      <c r="E10" s="4" t="s">
        <v>70</v>
      </c>
      <c r="F10" s="16"/>
      <c r="G10" s="4" t="s">
        <v>71</v>
      </c>
    </row>
    <row r="11" customFormat="false" ht="15.75" hidden="false" customHeight="true" outlineLevel="0" collapsed="false">
      <c r="A11" s="13"/>
      <c r="B11" s="10" t="s">
        <v>510</v>
      </c>
      <c r="C11" s="10" t="n">
        <v>0</v>
      </c>
      <c r="D11" s="10" t="n">
        <v>0</v>
      </c>
      <c r="E11" s="4"/>
      <c r="F11" s="4"/>
      <c r="G11" s="4"/>
    </row>
    <row r="12" customFormat="false" ht="15.75" hidden="false" customHeight="true" outlineLevel="0" collapsed="false">
      <c r="A12" s="13"/>
      <c r="B12" s="10" t="s">
        <v>513</v>
      </c>
      <c r="C12" s="10" t="n">
        <v>0</v>
      </c>
      <c r="D12" s="10" t="n">
        <v>0</v>
      </c>
      <c r="E12" s="4"/>
      <c r="F12" s="4"/>
      <c r="G12" s="4"/>
    </row>
    <row r="13" customFormat="false" ht="15.75" hidden="false" customHeight="true" outlineLevel="0" collapsed="false">
      <c r="A13" s="13" t="s">
        <v>521</v>
      </c>
      <c r="B13" s="10" t="s">
        <v>514</v>
      </c>
      <c r="C13" s="10" t="n">
        <f aca="false">72 / 341 * 601803 / 7493578125 *1000000000</f>
        <v>16956.77378</v>
      </c>
      <c r="D13" s="10" t="n">
        <f aca="false">C13/22.8</f>
        <v>743.7181484</v>
      </c>
      <c r="E13" s="4"/>
      <c r="F13" s="4"/>
      <c r="G13" s="4"/>
    </row>
    <row r="14" customFormat="false" ht="15.75" hidden="false" customHeight="true" outlineLevel="0" collapsed="false">
      <c r="A14" s="13"/>
      <c r="B14" s="10" t="s">
        <v>510</v>
      </c>
      <c r="C14" s="10" t="n">
        <f aca="false">198 / 443 *601803 / 7493578125 *1000000000</f>
        <v>35894.38965</v>
      </c>
      <c r="D14" s="10" t="n">
        <f aca="false">C14/44.3*4.7</f>
        <v>3808.208383</v>
      </c>
      <c r="E14" s="4"/>
      <c r="F14" s="4"/>
      <c r="G14" s="4"/>
    </row>
    <row r="15" customFormat="false" ht="15.75" hidden="false" customHeight="true" outlineLevel="0" collapsed="false">
      <c r="A15" s="13"/>
      <c r="B15" s="10" t="s">
        <v>513</v>
      </c>
      <c r="C15" s="10" t="n">
        <f aca="false">68 / 381*601803 / 7493578125 *1000000000</f>
        <v>14333.39423</v>
      </c>
      <c r="D15" s="10" t="n">
        <f aca="false">C15/17.7*3.5</f>
        <v>2834.286994</v>
      </c>
      <c r="E15" s="4"/>
      <c r="F15" s="4"/>
      <c r="G15" s="4"/>
    </row>
    <row r="16" customFormat="false" ht="15.75" hidden="false" customHeight="true" outlineLevel="0" collapsed="false">
      <c r="A16" s="13" t="s">
        <v>522</v>
      </c>
      <c r="B16" s="10" t="s">
        <v>514</v>
      </c>
      <c r="C16" s="10" t="n">
        <f aca="false">9 / 163 *493716 / 7795562500 *1000000000</f>
        <v>3496.911562</v>
      </c>
      <c r="D16" s="10" t="n">
        <f aca="false">C16/5.2*2.3</f>
        <v>1546.710883</v>
      </c>
      <c r="E16" s="4"/>
      <c r="F16" s="4"/>
      <c r="G16" s="4"/>
    </row>
    <row r="17" customFormat="false" ht="15.75" hidden="false" customHeight="true" outlineLevel="0" collapsed="false">
      <c r="A17" s="13"/>
      <c r="B17" s="10" t="s">
        <v>510</v>
      </c>
      <c r="C17" s="10" t="n">
        <f aca="false">63 / 146 *493716 / 7795562500 *1000000000</f>
        <v>27328.60337</v>
      </c>
      <c r="D17" s="10" t="n">
        <f aca="false">C17/44.5*6.4</f>
        <v>3930.405878</v>
      </c>
      <c r="E17" s="4"/>
      <c r="F17" s="4"/>
      <c r="G17" s="4"/>
    </row>
    <row r="18" customFormat="false" ht="15.75" hidden="false" customHeight="true" outlineLevel="0" collapsed="false">
      <c r="A18" s="13"/>
      <c r="B18" s="10" t="s">
        <v>513</v>
      </c>
      <c r="C18" s="19" t="n">
        <f aca="false">44 / 141*493716 / 7795562500 *1000000000</f>
        <v>19763.47496</v>
      </c>
      <c r="D18" s="10" t="n">
        <f aca="false">C18/31.4*4.7</f>
        <v>2958.227143</v>
      </c>
      <c r="E18" s="4"/>
      <c r="F18" s="4"/>
      <c r="G18" s="4"/>
    </row>
    <row r="19" customFormat="false" ht="15.75" hidden="false" customHeight="true" outlineLevel="0" collapsed="false">
      <c r="A19" s="13" t="s">
        <v>523</v>
      </c>
      <c r="B19" s="10" t="s">
        <v>514</v>
      </c>
      <c r="C19" s="10" t="n">
        <f aca="false">45/358*320774/5514187500*1000000000</f>
        <v>7312.184105</v>
      </c>
      <c r="D19" s="10" t="n">
        <f aca="false">C19/12.5*5.4</f>
        <v>3158.863533</v>
      </c>
      <c r="E19" s="4"/>
      <c r="F19" s="4"/>
      <c r="G19" s="4"/>
    </row>
    <row r="20" customFormat="false" ht="15.75" hidden="false" customHeight="true" outlineLevel="0" collapsed="false">
      <c r="A20" s="13"/>
      <c r="B20" s="10" t="s">
        <v>510</v>
      </c>
      <c r="C20" s="10" t="n">
        <f aca="false">136 / 331*320774/5514187500*1000000000</f>
        <v>23901.68645</v>
      </c>
      <c r="D20" s="10" t="n">
        <f aca="false">C20/41.8*11.3</f>
        <v>6461.460692</v>
      </c>
      <c r="E20" s="4"/>
      <c r="F20" s="4"/>
      <c r="G20" s="4"/>
    </row>
    <row r="21" customFormat="false" ht="15.75" hidden="false" customHeight="true" outlineLevel="0" collapsed="false">
      <c r="A21" s="13"/>
      <c r="B21" s="10" t="s">
        <v>513</v>
      </c>
      <c r="C21" s="10" t="n">
        <f aca="false">86 / 275*320774/5514187500*1000000000</f>
        <v>18192.12317</v>
      </c>
      <c r="D21" s="10" t="n">
        <f aca="false">C21/31.6*5.7</f>
        <v>3281.490572</v>
      </c>
      <c r="E21" s="4"/>
      <c r="F21" s="4"/>
      <c r="G21" s="4"/>
    </row>
    <row r="22" customFormat="false" ht="15.75" hidden="false" customHeight="true" outlineLevel="0" collapsed="false">
      <c r="A22" s="13" t="s">
        <v>68</v>
      </c>
      <c r="B22" s="10" t="s">
        <v>514</v>
      </c>
      <c r="C22" s="10" t="n">
        <f aca="false">131 / 951*1588460/24457437500*1000000000</f>
        <v>8946.560629</v>
      </c>
      <c r="E22" s="4"/>
      <c r="F22" s="4"/>
      <c r="G22" s="4"/>
    </row>
    <row r="23" customFormat="false" ht="15.75" hidden="false" customHeight="true" outlineLevel="0" collapsed="false">
      <c r="A23" s="13"/>
      <c r="B23" s="10" t="s">
        <v>510</v>
      </c>
      <c r="C23" s="10" t="n">
        <f aca="false">198 / 849*1588460/24457437500*1000000000</f>
        <v>15146.86765</v>
      </c>
      <c r="E23" s="4"/>
      <c r="F23" s="4"/>
      <c r="G23" s="4"/>
    </row>
    <row r="24" customFormat="false" ht="15.75" hidden="false" customHeight="true" outlineLevel="0" collapsed="false">
      <c r="A24" s="13"/>
      <c r="B24" s="10" t="s">
        <v>513</v>
      </c>
      <c r="C24" s="10" t="n">
        <f aca="false">397 / 985*1588460/24457437500*1000000000</f>
        <v>26176.98396</v>
      </c>
      <c r="E24" s="4"/>
      <c r="F24" s="4"/>
      <c r="G24" s="4"/>
    </row>
    <row r="25" customFormat="false" ht="15.75" hidden="false" customHeight="true" outlineLevel="0" collapsed="false">
      <c r="A25" s="13" t="s">
        <v>32</v>
      </c>
      <c r="B25" s="10" t="s">
        <v>510</v>
      </c>
      <c r="C25" s="10" t="n">
        <f aca="false">34.3/100*10.3/100*1360638/7072875000*1000000000</f>
        <v>6796.38476602513</v>
      </c>
      <c r="E25" s="13" t="s">
        <v>73</v>
      </c>
      <c r="F25" s="20"/>
      <c r="G25" s="13" t="s">
        <v>321</v>
      </c>
    </row>
    <row r="26" customFormat="false" ht="15.75" hidden="false" customHeight="true" outlineLevel="0" collapsed="false">
      <c r="A26" s="13"/>
      <c r="B26" s="10" t="s">
        <v>513</v>
      </c>
      <c r="C26" s="10" t="n">
        <f aca="false">34.3/100*10.3/100*1360638/7072875000*1000000000</f>
        <v>6796.38476602513</v>
      </c>
      <c r="E26" s="13"/>
      <c r="F26" s="13"/>
      <c r="G26" s="13"/>
    </row>
    <row r="27" customFormat="false" ht="15.75" hidden="false" customHeight="true" outlineLevel="0" collapsed="false">
      <c r="A27" s="13"/>
      <c r="B27" s="10" t="s">
        <v>524</v>
      </c>
      <c r="C27" s="10" t="n">
        <f aca="false">14.2/100*10.3/100*1360638/7072875000*1000000000</f>
        <v>2813.663664</v>
      </c>
      <c r="E27" s="13"/>
      <c r="F27" s="13"/>
      <c r="G27" s="13"/>
    </row>
    <row r="28" customFormat="false" ht="15.75" hidden="false" customHeight="true" outlineLevel="0" collapsed="false">
      <c r="A28" s="13"/>
      <c r="B28" s="10" t="s">
        <v>515</v>
      </c>
      <c r="C28" s="10" t="n">
        <f aca="false">17.3/100*10.3/100*1360638/7072875000*1000000000</f>
        <v>3427.914182</v>
      </c>
      <c r="E28" s="13"/>
      <c r="F28" s="13"/>
      <c r="G28" s="13"/>
    </row>
    <row r="29" customFormat="false" ht="15.75" hidden="false" customHeight="true" outlineLevel="0" collapsed="false">
      <c r="A29" s="13" t="s">
        <v>45</v>
      </c>
      <c r="B29" s="10" t="s">
        <v>513</v>
      </c>
      <c r="C29" s="10" t="n">
        <f aca="false">27.7/100*10.9/100*359233 /2408234375*1000000000</f>
        <v>4503.848164</v>
      </c>
      <c r="E29" s="13"/>
      <c r="F29" s="13"/>
      <c r="G29" s="13"/>
    </row>
    <row r="30" customFormat="false" ht="15.75" hidden="false" customHeight="true" outlineLevel="0" collapsed="false">
      <c r="A30" s="13"/>
      <c r="B30" s="10" t="s">
        <v>524</v>
      </c>
      <c r="C30" s="10" t="n">
        <f aca="false">14.5/100*10.9/100*359233 /2408234375*1000000000</f>
        <v>2357.61005</v>
      </c>
      <c r="E30" s="13"/>
      <c r="F30" s="13"/>
      <c r="G30" s="13"/>
    </row>
    <row r="31" customFormat="false" ht="15.75" hidden="false" customHeight="true" outlineLevel="0" collapsed="false">
      <c r="A31" s="13"/>
      <c r="B31" s="10" t="s">
        <v>515</v>
      </c>
      <c r="C31" s="10" t="n">
        <f aca="false">14.9/100*10.9/100*359233 /2408234375*1000000000</f>
        <v>2422.647569</v>
      </c>
      <c r="E31" s="13"/>
      <c r="F31" s="13"/>
      <c r="G31" s="13"/>
    </row>
    <row r="32" customFormat="false" ht="15.75" hidden="false" customHeight="true" outlineLevel="0" collapsed="false">
      <c r="A32" s="6" t="s">
        <v>15</v>
      </c>
      <c r="B32" s="10" t="s">
        <v>510</v>
      </c>
      <c r="C32" s="10" t="n">
        <f aca="false">(1.35+1.46)/2*1000</f>
        <v>1405</v>
      </c>
      <c r="D32" s="10" t="n">
        <f aca="false">(0.07+0.15)/2*1000</f>
        <v>110</v>
      </c>
      <c r="E32" s="13" t="s">
        <v>320</v>
      </c>
      <c r="F32" s="4" t="s">
        <v>525</v>
      </c>
      <c r="G32" s="13" t="s">
        <v>321</v>
      </c>
    </row>
    <row r="33" customFormat="false" ht="15.75" hidden="false" customHeight="true" outlineLevel="0" collapsed="false">
      <c r="A33" s="6"/>
      <c r="B33" s="10" t="s">
        <v>514</v>
      </c>
      <c r="C33" s="10" t="n">
        <f aca="false">(0.74+1.02)/2*1000</f>
        <v>880</v>
      </c>
      <c r="D33" s="10" t="n">
        <f aca="false">(0.03+0.1)/2*1000</f>
        <v>65</v>
      </c>
      <c r="E33" s="13"/>
      <c r="F33" s="13"/>
      <c r="G33" s="13"/>
    </row>
    <row r="34" customFormat="false" ht="15.75" hidden="false" customHeight="true" outlineLevel="0" collapsed="false">
      <c r="A34" s="6"/>
      <c r="B34" s="10" t="s">
        <v>526</v>
      </c>
      <c r="C34" s="10" t="n">
        <f aca="false">(1.49+1.62)/2*1000</f>
        <v>1555</v>
      </c>
      <c r="D34" s="10" t="n">
        <f aca="false">(0.19+0.38)/2*1000</f>
        <v>285</v>
      </c>
      <c r="E34" s="13"/>
      <c r="F34" s="13"/>
      <c r="G34" s="13"/>
    </row>
    <row r="35" customFormat="false" ht="15.75" hidden="false" customHeight="true" outlineLevel="0" collapsed="false">
      <c r="A35" s="6"/>
      <c r="B35" s="10" t="s">
        <v>515</v>
      </c>
      <c r="C35" s="10" t="n">
        <f aca="false">(2.3+1.67)/2*1000</f>
        <v>1985</v>
      </c>
      <c r="D35" s="10" t="n">
        <f aca="false">(0.27+0.29)/2*1000</f>
        <v>280</v>
      </c>
      <c r="E35" s="13"/>
      <c r="F35" s="13"/>
      <c r="G35" s="13"/>
    </row>
    <row r="36" customFormat="false" ht="15.75" hidden="false" customHeight="true" outlineLevel="0" collapsed="false">
      <c r="A36" s="6"/>
      <c r="B36" s="10" t="s">
        <v>513</v>
      </c>
      <c r="C36" s="10" t="n">
        <f aca="false">(0.99+1.48)/2*1000</f>
        <v>1235</v>
      </c>
      <c r="D36" s="10" t="n">
        <f aca="false">(0.09+0.17)/2*1000</f>
        <v>130</v>
      </c>
      <c r="E36" s="13"/>
      <c r="F36" s="13"/>
      <c r="G36" s="13"/>
    </row>
    <row r="37" customFormat="false" ht="15.75" hidden="false" customHeight="true" outlineLevel="0" collapsed="false">
      <c r="A37" s="6"/>
      <c r="B37" s="10" t="s">
        <v>518</v>
      </c>
      <c r="C37" s="10" t="n">
        <f aca="false">(0.75+0.37)/2*1000</f>
        <v>560</v>
      </c>
      <c r="D37" s="10" t="n">
        <f aca="false">(0.08+0.12)/2*1000</f>
        <v>100</v>
      </c>
      <c r="E37" s="13"/>
      <c r="F37" s="13"/>
      <c r="G37" s="13"/>
    </row>
    <row r="38" customFormat="false" ht="15.75" hidden="false" customHeight="true" outlineLevel="0" collapsed="false">
      <c r="A38" s="6"/>
      <c r="B38" s="10" t="s">
        <v>524</v>
      </c>
      <c r="C38" s="10" t="n">
        <f aca="false">(0.69+1.14)/2*1000</f>
        <v>915</v>
      </c>
      <c r="D38" s="10" t="n">
        <f aca="false">(0.15+0.25)/2*1000</f>
        <v>200</v>
      </c>
      <c r="E38" s="13"/>
      <c r="F38" s="13"/>
      <c r="G38" s="13"/>
    </row>
    <row r="39" customFormat="false" ht="15.75" hidden="false" customHeight="true" outlineLevel="0" collapsed="false">
      <c r="A39" s="6"/>
      <c r="B39" s="10" t="s">
        <v>527</v>
      </c>
      <c r="C39" s="10" t="n">
        <f aca="false">(1.61+1.34)/2*1000</f>
        <v>1475</v>
      </c>
      <c r="D39" s="10" t="n">
        <f aca="false">(0.07+0.22)/2*1000</f>
        <v>145</v>
      </c>
      <c r="E39" s="13"/>
      <c r="F39" s="13"/>
      <c r="G39" s="13"/>
    </row>
    <row r="40" customFormat="false" ht="15.75" hidden="false" customHeight="true" outlineLevel="0" collapsed="false">
      <c r="A40" s="6" t="s">
        <v>18</v>
      </c>
      <c r="B40" s="10" t="s">
        <v>510</v>
      </c>
      <c r="C40" s="10" t="n">
        <f aca="false">(1.34+2.68)/2*1000</f>
        <v>2010</v>
      </c>
      <c r="D40" s="10" t="n">
        <f aca="false">(0.06+0.41)/2*1000</f>
        <v>235</v>
      </c>
      <c r="E40" s="13"/>
      <c r="F40" s="13"/>
      <c r="G40" s="13"/>
    </row>
    <row r="41" customFormat="false" ht="15.75" hidden="false" customHeight="true" outlineLevel="0" collapsed="false">
      <c r="A41" s="6"/>
      <c r="B41" s="10" t="s">
        <v>514</v>
      </c>
      <c r="C41" s="10" t="n">
        <f aca="false">(0.35+0.57)/2*1000</f>
        <v>460</v>
      </c>
      <c r="D41" s="10" t="n">
        <f aca="false">(0.07+0.16)/2*1000</f>
        <v>115</v>
      </c>
      <c r="E41" s="13"/>
      <c r="F41" s="13"/>
      <c r="G41" s="13"/>
    </row>
    <row r="42" customFormat="false" ht="15.75" hidden="false" customHeight="true" outlineLevel="0" collapsed="false">
      <c r="A42" s="6"/>
      <c r="B42" s="10" t="s">
        <v>526</v>
      </c>
      <c r="C42" s="10" t="n">
        <f aca="false">(2.95+4.33)/2*1000</f>
        <v>3640</v>
      </c>
      <c r="D42" s="10" t="n">
        <f aca="false">(0.42+1.29)/2*1000</f>
        <v>855</v>
      </c>
      <c r="E42" s="13"/>
      <c r="F42" s="13"/>
      <c r="G42" s="13"/>
    </row>
    <row r="43" customFormat="false" ht="15.75" hidden="false" customHeight="true" outlineLevel="0" collapsed="false">
      <c r="A43" s="6"/>
      <c r="B43" s="10" t="s">
        <v>515</v>
      </c>
      <c r="C43" s="10" t="n">
        <f aca="false">(3.12+4.45)/2*1000</f>
        <v>3785</v>
      </c>
      <c r="D43" s="10" t="n">
        <f aca="false">(0.34+0.38)/2*1000</f>
        <v>360</v>
      </c>
      <c r="E43" s="13"/>
      <c r="F43" s="13"/>
      <c r="G43" s="13"/>
    </row>
    <row r="44" customFormat="false" ht="15.75" hidden="false" customHeight="true" outlineLevel="0" collapsed="false">
      <c r="A44" s="6"/>
      <c r="B44" s="10" t="s">
        <v>513</v>
      </c>
      <c r="C44" s="10" t="n">
        <f aca="false">(3.09+5.79)/2*1000</f>
        <v>4440</v>
      </c>
      <c r="D44" s="10" t="n">
        <f aca="false">(0.16+0.48)/2*1000</f>
        <v>320</v>
      </c>
      <c r="E44" s="13"/>
      <c r="F44" s="13"/>
      <c r="G44" s="13"/>
    </row>
    <row r="45" customFormat="false" ht="15.75" hidden="false" customHeight="true" outlineLevel="0" collapsed="false">
      <c r="A45" s="6"/>
      <c r="B45" s="10" t="s">
        <v>518</v>
      </c>
      <c r="C45" s="10" t="n">
        <f aca="false">(0.29+0.56)/2*1000</f>
        <v>425</v>
      </c>
      <c r="D45" s="10" t="n">
        <f aca="false">(0.12+0.23)/2*1000</f>
        <v>175</v>
      </c>
      <c r="E45" s="13"/>
      <c r="F45" s="13"/>
      <c r="G45" s="13"/>
    </row>
    <row r="46" customFormat="false" ht="15.75" hidden="false" customHeight="true" outlineLevel="0" collapsed="false">
      <c r="A46" s="6"/>
      <c r="B46" s="10" t="s">
        <v>524</v>
      </c>
      <c r="C46" s="10" t="n">
        <f aca="false">(0.24+0.45)/2*1000</f>
        <v>345</v>
      </c>
      <c r="D46" s="10" t="n">
        <f aca="false">(0.1+0.3)/2*1000</f>
        <v>200</v>
      </c>
      <c r="E46" s="13"/>
      <c r="F46" s="13"/>
      <c r="G46" s="13"/>
    </row>
    <row r="47" customFormat="false" ht="15.75" hidden="false" customHeight="true" outlineLevel="0" collapsed="false">
      <c r="A47" s="6"/>
      <c r="B47" s="10" t="s">
        <v>527</v>
      </c>
      <c r="C47" s="10" t="n">
        <f aca="false">(1.35+1.46)/2*1000</f>
        <v>1405</v>
      </c>
      <c r="D47" s="10" t="n">
        <f aca="false">(0.07+0.1)/2*1000</f>
        <v>85</v>
      </c>
      <c r="E47" s="13"/>
      <c r="F47" s="13"/>
      <c r="G47" s="13"/>
    </row>
    <row r="48" customFormat="false" ht="15.75" hidden="false" customHeight="true" outlineLevel="0" collapsed="false">
      <c r="A48" s="6" t="s">
        <v>19</v>
      </c>
      <c r="B48" s="10" t="s">
        <v>510</v>
      </c>
      <c r="C48" s="10" t="n">
        <f aca="false">(5.73+3.83)/2*1000</f>
        <v>4780</v>
      </c>
      <c r="D48" s="10" t="n">
        <f aca="false">(0.42+0.72)/2*1000</f>
        <v>570</v>
      </c>
      <c r="E48" s="13"/>
      <c r="F48" s="13"/>
      <c r="G48" s="13"/>
    </row>
    <row r="49" customFormat="false" ht="15.75" hidden="false" customHeight="true" outlineLevel="0" collapsed="false">
      <c r="A49" s="6"/>
      <c r="B49" s="10" t="s">
        <v>514</v>
      </c>
      <c r="C49" s="10" t="n">
        <f aca="false">(2.68+1.92)/2*1000</f>
        <v>2300</v>
      </c>
      <c r="D49" s="10" t="n">
        <f aca="false">(0.44+0.38)/2*1000</f>
        <v>410</v>
      </c>
      <c r="E49" s="13"/>
      <c r="F49" s="13"/>
      <c r="G49" s="13"/>
    </row>
    <row r="50" customFormat="false" ht="15.75" hidden="false" customHeight="true" outlineLevel="0" collapsed="false">
      <c r="A50" s="6"/>
      <c r="B50" s="10" t="s">
        <v>526</v>
      </c>
      <c r="C50" s="10" t="n">
        <f aca="false">(1.19+0.93)/2*1000</f>
        <v>1060</v>
      </c>
      <c r="D50" s="10" t="n">
        <f aca="false">(0.45+0.15)/2*1000</f>
        <v>300</v>
      </c>
      <c r="E50" s="13"/>
      <c r="F50" s="13"/>
      <c r="G50" s="13"/>
    </row>
    <row r="51" customFormat="false" ht="15.75" hidden="false" customHeight="true" outlineLevel="0" collapsed="false">
      <c r="A51" s="6"/>
      <c r="B51" s="10" t="s">
        <v>515</v>
      </c>
      <c r="C51" s="10" t="n">
        <f aca="false">(5.35+2.15)/2*1000</f>
        <v>3750</v>
      </c>
      <c r="D51" s="10" t="n">
        <f aca="false">(0.71+0.48)/2*1000</f>
        <v>595</v>
      </c>
      <c r="E51" s="13"/>
      <c r="F51" s="13"/>
      <c r="G51" s="13"/>
    </row>
    <row r="52" customFormat="false" ht="15.75" hidden="false" customHeight="true" outlineLevel="0" collapsed="false">
      <c r="A52" s="6"/>
      <c r="B52" s="10" t="s">
        <v>513</v>
      </c>
      <c r="C52" s="10" t="n">
        <f aca="false">(0.46+0.67)/2*1000</f>
        <v>565</v>
      </c>
      <c r="D52" s="10" t="n">
        <f aca="false">(0.12+0.17)/2*1000</f>
        <v>145</v>
      </c>
      <c r="E52" s="13"/>
      <c r="F52" s="13"/>
      <c r="G52" s="13"/>
    </row>
    <row r="53" customFormat="false" ht="15.75" hidden="false" customHeight="true" outlineLevel="0" collapsed="false">
      <c r="A53" s="6"/>
      <c r="B53" s="10" t="s">
        <v>518</v>
      </c>
      <c r="C53" s="10" t="n">
        <f aca="false">(0.76+1.08)/2*1000</f>
        <v>920</v>
      </c>
      <c r="D53" s="10" t="n">
        <f aca="false">(0.26+0.14)/2*1000</f>
        <v>200</v>
      </c>
      <c r="E53" s="13"/>
      <c r="F53" s="13"/>
      <c r="G53" s="13"/>
    </row>
    <row r="54" customFormat="false" ht="15.75" hidden="false" customHeight="true" outlineLevel="0" collapsed="false">
      <c r="A54" s="6"/>
      <c r="B54" s="10" t="s">
        <v>524</v>
      </c>
      <c r="C54" s="10" t="n">
        <f aca="false">(2.79+2.38)/2*1000</f>
        <v>2585</v>
      </c>
      <c r="D54" s="10" t="n">
        <f aca="false">(0.47+0.59)/2*1000</f>
        <v>530</v>
      </c>
      <c r="E54" s="13"/>
      <c r="F54" s="13"/>
      <c r="G54" s="13"/>
    </row>
    <row r="55" customFormat="false" ht="15.75" hidden="false" customHeight="true" outlineLevel="0" collapsed="false">
      <c r="A55" s="6"/>
      <c r="B55" s="10" t="s">
        <v>527</v>
      </c>
      <c r="C55" s="10" t="n">
        <f aca="false">(4.23+2.44)/2*1000</f>
        <v>3335</v>
      </c>
      <c r="D55" s="10" t="n">
        <f aca="false">(0.26+0.29)/2*1000</f>
        <v>275</v>
      </c>
      <c r="E55" s="13"/>
      <c r="F55" s="13"/>
      <c r="G55" s="13"/>
    </row>
    <row r="56" customFormat="false" ht="15.75" hidden="false" customHeight="true" outlineLevel="0" collapsed="false">
      <c r="A56" s="6" t="s">
        <v>20</v>
      </c>
      <c r="B56" s="10" t="s">
        <v>510</v>
      </c>
      <c r="C56" s="10" t="n">
        <f aca="false">(0.23+0.04)/2*1000</f>
        <v>135</v>
      </c>
      <c r="D56" s="10" t="n">
        <f aca="false">(0.05+0.05)/2*1000</f>
        <v>50</v>
      </c>
      <c r="E56" s="13"/>
      <c r="F56" s="13"/>
      <c r="G56" s="13"/>
    </row>
    <row r="57" customFormat="false" ht="15.75" hidden="false" customHeight="true" outlineLevel="0" collapsed="false">
      <c r="A57" s="6"/>
      <c r="B57" s="10" t="s">
        <v>514</v>
      </c>
      <c r="C57" s="10" t="n">
        <f aca="false">(0.47+0.52)/2*1000</f>
        <v>495</v>
      </c>
      <c r="D57" s="10" t="n">
        <f aca="false">(0.05+0.04)/2*1000</f>
        <v>45</v>
      </c>
      <c r="E57" s="13"/>
      <c r="F57" s="13"/>
      <c r="G57" s="13"/>
    </row>
    <row r="58" customFormat="false" ht="15.75" hidden="false" customHeight="true" outlineLevel="0" collapsed="false">
      <c r="A58" s="6"/>
      <c r="B58" s="10" t="s">
        <v>526</v>
      </c>
      <c r="C58" s="10" t="n">
        <f aca="false">(0.51+0.73)/2*1000</f>
        <v>620</v>
      </c>
      <c r="D58" s="10" t="n">
        <f aca="false">(0.18+0.24)/2*1000</f>
        <v>210</v>
      </c>
      <c r="E58" s="13"/>
      <c r="F58" s="13"/>
      <c r="G58" s="13"/>
    </row>
    <row r="59" customFormat="false" ht="15.75" hidden="false" customHeight="true" outlineLevel="0" collapsed="false">
      <c r="A59" s="6"/>
      <c r="B59" s="10" t="s">
        <v>515</v>
      </c>
      <c r="C59" s="10" t="n">
        <f aca="false">(0.88+0.28)/2*1000</f>
        <v>580</v>
      </c>
      <c r="D59" s="10" t="n">
        <f aca="false">(0.15+0.1)/2*1000</f>
        <v>125</v>
      </c>
      <c r="E59" s="13"/>
      <c r="F59" s="13"/>
      <c r="G59" s="13"/>
    </row>
    <row r="60" customFormat="false" ht="15.75" hidden="false" customHeight="true" outlineLevel="0" collapsed="false">
      <c r="A60" s="6"/>
      <c r="B60" s="10" t="s">
        <v>513</v>
      </c>
      <c r="C60" s="10" t="n">
        <f aca="false">(0.07+0.11)/2*1000</f>
        <v>90</v>
      </c>
      <c r="D60" s="10" t="n">
        <f aca="false">(0.06+0.05)/2*1000</f>
        <v>55</v>
      </c>
      <c r="E60" s="13"/>
      <c r="F60" s="13"/>
      <c r="G60" s="13"/>
    </row>
    <row r="61" customFormat="false" ht="15.75" hidden="false" customHeight="true" outlineLevel="0" collapsed="false">
      <c r="A61" s="6"/>
      <c r="B61" s="10" t="s">
        <v>518</v>
      </c>
      <c r="C61" s="10" t="n">
        <f aca="false">(0.41+0.7)/2*1000</f>
        <v>555</v>
      </c>
      <c r="D61" s="10" t="n">
        <f aca="false">(0.16+0.22)/2*1000</f>
        <v>190</v>
      </c>
      <c r="E61" s="13"/>
      <c r="F61" s="13"/>
      <c r="G61" s="13"/>
    </row>
    <row r="62" customFormat="false" ht="15.75" hidden="false" customHeight="true" outlineLevel="0" collapsed="false">
      <c r="A62" s="6"/>
      <c r="B62" s="10" t="s">
        <v>524</v>
      </c>
      <c r="C62" s="10" t="n">
        <f aca="false">(0.37+0.58)/2*1000</f>
        <v>475</v>
      </c>
      <c r="D62" s="10" t="n">
        <f aca="false">(0.14+0.13)/2*1000</f>
        <v>135</v>
      </c>
      <c r="E62" s="13"/>
      <c r="F62" s="13"/>
      <c r="G62" s="13"/>
    </row>
    <row r="63" customFormat="false" ht="15.75" hidden="false" customHeight="true" outlineLevel="0" collapsed="false">
      <c r="A63" s="6"/>
      <c r="B63" s="10" t="s">
        <v>527</v>
      </c>
      <c r="C63" s="10" t="n">
        <f aca="false">(0.7+0.76)/2*1000</f>
        <v>730</v>
      </c>
      <c r="D63" s="10" t="n">
        <f aca="false">(0.19+0.18)/2*1000</f>
        <v>185</v>
      </c>
      <c r="E63" s="13"/>
      <c r="F63" s="13"/>
      <c r="G63" s="13"/>
    </row>
    <row r="64" customFormat="false" ht="15.75" hidden="false" customHeight="true" outlineLevel="0" collapsed="false">
      <c r="A64" s="6" t="s">
        <v>21</v>
      </c>
      <c r="B64" s="10" t="s">
        <v>510</v>
      </c>
      <c r="C64" s="10" t="n">
        <f aca="false">(0.06)/2*1000</f>
        <v>30</v>
      </c>
      <c r="D64" s="10" t="n">
        <f aca="false">(0.05)/2*1000</f>
        <v>25</v>
      </c>
      <c r="E64" s="13"/>
      <c r="F64" s="13"/>
      <c r="G64" s="13"/>
    </row>
    <row r="65" customFormat="false" ht="15.75" hidden="false" customHeight="true" outlineLevel="0" collapsed="false">
      <c r="A65" s="6"/>
      <c r="B65" s="10" t="s">
        <v>514</v>
      </c>
      <c r="C65" s="10" t="n">
        <f aca="false">(0.63+1.18)/2*1000</f>
        <v>905</v>
      </c>
      <c r="D65" s="10" t="n">
        <f aca="false">(0.18+0.08)/2*1000</f>
        <v>130</v>
      </c>
      <c r="E65" s="13"/>
      <c r="F65" s="13"/>
      <c r="G65" s="13"/>
    </row>
    <row r="66" customFormat="false" ht="15.75" hidden="false" customHeight="true" outlineLevel="0" collapsed="false">
      <c r="A66" s="6"/>
      <c r="B66" s="10" t="s">
        <v>526</v>
      </c>
      <c r="C66" s="10" t="n">
        <f aca="false">(1.44+1.34)/2*1000</f>
        <v>1390</v>
      </c>
      <c r="D66" s="10" t="n">
        <f aca="false">(0.48+0.26)/2*1000</f>
        <v>370</v>
      </c>
      <c r="E66" s="13"/>
      <c r="F66" s="13"/>
      <c r="G66" s="13"/>
    </row>
    <row r="67" customFormat="false" ht="15.75" hidden="false" customHeight="true" outlineLevel="0" collapsed="false">
      <c r="A67" s="6"/>
      <c r="B67" s="10" t="s">
        <v>515</v>
      </c>
      <c r="C67" s="10" t="n">
        <f aca="false">(1.68+0.83)/2*1000</f>
        <v>1255</v>
      </c>
      <c r="D67" s="10" t="n">
        <f aca="false">(0.47+0.53)/2*1000</f>
        <v>500</v>
      </c>
      <c r="E67" s="13"/>
      <c r="F67" s="13"/>
      <c r="G67" s="13"/>
    </row>
    <row r="68" customFormat="false" ht="15.75" hidden="false" customHeight="true" outlineLevel="0" collapsed="false">
      <c r="A68" s="6"/>
      <c r="B68" s="10" t="s">
        <v>513</v>
      </c>
      <c r="C68" s="10" t="n">
        <f aca="false">(0.03)/2*1000</f>
        <v>15</v>
      </c>
      <c r="D68" s="10" t="n">
        <f aca="false">(0.03)/2*1000</f>
        <v>15</v>
      </c>
      <c r="E68" s="13"/>
      <c r="F68" s="13"/>
      <c r="G68" s="13"/>
    </row>
    <row r="69" customFormat="false" ht="15.75" hidden="false" customHeight="true" outlineLevel="0" collapsed="false">
      <c r="A69" s="6"/>
      <c r="B69" s="10" t="s">
        <v>518</v>
      </c>
      <c r="C69" s="10" t="n">
        <f aca="false">(0.17+0.66)/2*1000</f>
        <v>415</v>
      </c>
      <c r="D69" s="10" t="n">
        <f aca="false">(0.08+0.23)/2*1000</f>
        <v>155</v>
      </c>
      <c r="E69" s="13"/>
      <c r="F69" s="13"/>
      <c r="G69" s="13"/>
    </row>
    <row r="70" customFormat="false" ht="15.75" hidden="false" customHeight="true" outlineLevel="0" collapsed="false">
      <c r="A70" s="6"/>
      <c r="B70" s="10" t="s">
        <v>524</v>
      </c>
      <c r="C70" s="10" t="n">
        <f aca="false">(0.44+1.32)/2*1000</f>
        <v>880</v>
      </c>
      <c r="D70" s="10" t="n">
        <f aca="false">(0.1+0.21)/2*1000</f>
        <v>155</v>
      </c>
      <c r="E70" s="13"/>
      <c r="F70" s="13"/>
      <c r="G70" s="13"/>
    </row>
    <row r="71" customFormat="false" ht="15.75" hidden="false" customHeight="true" outlineLevel="0" collapsed="false">
      <c r="A71" s="6"/>
      <c r="B71" s="10" t="s">
        <v>527</v>
      </c>
      <c r="C71" s="10" t="n">
        <f aca="false">(1.96+1.84)/2*1000</f>
        <v>1900</v>
      </c>
      <c r="D71" s="10" t="n">
        <f aca="false">(0.43+0.56)/2*1000</f>
        <v>495</v>
      </c>
      <c r="E71" s="13"/>
      <c r="F71" s="13"/>
      <c r="G71" s="13"/>
    </row>
    <row r="72" customFormat="false" ht="15.75" hidden="false" customHeight="true" outlineLevel="0" collapsed="false">
      <c r="A72" s="6" t="s">
        <v>27</v>
      </c>
      <c r="B72" s="10" t="s">
        <v>510</v>
      </c>
      <c r="C72" s="10" t="n">
        <f aca="false">(1.67+1.4)/2*1000</f>
        <v>1535</v>
      </c>
      <c r="D72" s="10" t="n">
        <f aca="false">(0.04+0.14)/2*1000</f>
        <v>90</v>
      </c>
      <c r="E72" s="13"/>
      <c r="F72" s="13"/>
      <c r="G72" s="13"/>
    </row>
    <row r="73" customFormat="false" ht="15.75" hidden="false" customHeight="true" outlineLevel="0" collapsed="false">
      <c r="A73" s="6"/>
      <c r="B73" s="10" t="s">
        <v>514</v>
      </c>
      <c r="C73" s="10" t="n">
        <f aca="false">(0.35+0.52)/2*1000</f>
        <v>435</v>
      </c>
      <c r="D73" s="10" t="n">
        <f aca="false">(0.06+0.05)/2*1000</f>
        <v>55</v>
      </c>
      <c r="E73" s="13"/>
      <c r="F73" s="13"/>
      <c r="G73" s="13"/>
    </row>
    <row r="74" customFormat="false" ht="15.75" hidden="false" customHeight="true" outlineLevel="0" collapsed="false">
      <c r="A74" s="6"/>
      <c r="B74" s="10" t="s">
        <v>526</v>
      </c>
      <c r="C74" s="10" t="n">
        <f aca="false">(0.82+2.36)/2*1000</f>
        <v>1590</v>
      </c>
      <c r="D74" s="10" t="n">
        <f aca="false">(0.1+0.47)/2*1000</f>
        <v>285</v>
      </c>
      <c r="E74" s="13"/>
      <c r="F74" s="13"/>
      <c r="G74" s="13"/>
    </row>
    <row r="75" customFormat="false" ht="15.75" hidden="false" customHeight="true" outlineLevel="0" collapsed="false">
      <c r="A75" s="6"/>
      <c r="B75" s="10" t="s">
        <v>515</v>
      </c>
      <c r="C75" s="10" t="n">
        <f aca="false">(2.72+2.52)/2*1000</f>
        <v>2620</v>
      </c>
      <c r="D75" s="10" t="n">
        <f aca="false">(0.41+0.23)/2*1000</f>
        <v>320</v>
      </c>
      <c r="E75" s="13"/>
      <c r="F75" s="13"/>
      <c r="G75" s="13"/>
    </row>
    <row r="76" customFormat="false" ht="15.75" hidden="false" customHeight="true" outlineLevel="0" collapsed="false">
      <c r="A76" s="6"/>
      <c r="B76" s="10" t="s">
        <v>513</v>
      </c>
      <c r="C76" s="10" t="n">
        <f aca="false">(1.18+1.47)/2*1000</f>
        <v>1325</v>
      </c>
      <c r="D76" s="10" t="n">
        <f aca="false">(0.22+0.34)/2*1000</f>
        <v>280</v>
      </c>
      <c r="E76" s="13"/>
      <c r="F76" s="13"/>
      <c r="G76" s="13"/>
    </row>
    <row r="77" customFormat="false" ht="15.75" hidden="false" customHeight="true" outlineLevel="0" collapsed="false">
      <c r="A77" s="6"/>
      <c r="B77" s="10" t="s">
        <v>518</v>
      </c>
      <c r="C77" s="10" t="n">
        <f aca="false">(0.6+0.74)/2*1000</f>
        <v>670</v>
      </c>
      <c r="D77" s="10" t="n">
        <f aca="false">(0.14+0.17)/2*1000</f>
        <v>155</v>
      </c>
      <c r="E77" s="13"/>
      <c r="F77" s="13"/>
      <c r="G77" s="13"/>
    </row>
    <row r="78" customFormat="false" ht="15.75" hidden="false" customHeight="true" outlineLevel="0" collapsed="false">
      <c r="A78" s="6"/>
      <c r="B78" s="10" t="s">
        <v>524</v>
      </c>
      <c r="C78" s="10" t="n">
        <f aca="false">(0.25+0.35)/2*1000</f>
        <v>300</v>
      </c>
      <c r="D78" s="10" t="n">
        <f aca="false">(0.07+0.05)/2*1000</f>
        <v>60</v>
      </c>
      <c r="E78" s="13"/>
      <c r="F78" s="13"/>
      <c r="G78" s="13"/>
    </row>
    <row r="79" customFormat="false" ht="15.75" hidden="false" customHeight="true" outlineLevel="0" collapsed="false">
      <c r="A79" s="6"/>
      <c r="B79" s="10" t="s">
        <v>527</v>
      </c>
      <c r="C79" s="10" t="n">
        <f aca="false">(1.27+2.26)/2*1000</f>
        <v>1765</v>
      </c>
      <c r="D79" s="10" t="n">
        <f aca="false">(0.04+0.33)/2*1000</f>
        <v>185</v>
      </c>
      <c r="E79" s="13"/>
      <c r="F79" s="13"/>
      <c r="G79" s="13"/>
    </row>
    <row r="80" customFormat="false" ht="15.75" hidden="false" customHeight="true" outlineLevel="0" collapsed="false">
      <c r="A80" s="6" t="s">
        <v>22</v>
      </c>
      <c r="B80" s="10" t="s">
        <v>510</v>
      </c>
      <c r="C80" s="10" t="n">
        <f aca="false">(1.3+1.53)/2*1000</f>
        <v>1415</v>
      </c>
      <c r="D80" s="10" t="n">
        <f aca="false">(0.2+0.2)/2*1000</f>
        <v>200</v>
      </c>
      <c r="E80" s="13"/>
      <c r="F80" s="13"/>
      <c r="G80" s="13"/>
    </row>
    <row r="81" customFormat="false" ht="15.75" hidden="false" customHeight="true" outlineLevel="0" collapsed="false">
      <c r="A81" s="6"/>
      <c r="B81" s="10" t="s">
        <v>514</v>
      </c>
      <c r="C81" s="10" t="n">
        <f aca="false">(0.21+0.009)/2*1000</f>
        <v>109.5</v>
      </c>
      <c r="D81" s="10" t="n">
        <f aca="false">(0.09+0.04)/2*1000</f>
        <v>65</v>
      </c>
      <c r="E81" s="13"/>
      <c r="F81" s="13"/>
      <c r="G81" s="13"/>
    </row>
    <row r="82" customFormat="false" ht="15.75" hidden="false" customHeight="true" outlineLevel="0" collapsed="false">
      <c r="A82" s="6"/>
      <c r="B82" s="10" t="s">
        <v>526</v>
      </c>
      <c r="C82" s="10" t="n">
        <f aca="false">(0.91+2.15)/2*1000</f>
        <v>1530</v>
      </c>
      <c r="D82" s="10" t="n">
        <f aca="false">(0.27+0.5)/2*1000</f>
        <v>385</v>
      </c>
      <c r="E82" s="13"/>
      <c r="F82" s="13"/>
      <c r="G82" s="13"/>
    </row>
    <row r="83" customFormat="false" ht="15.75" hidden="false" customHeight="true" outlineLevel="0" collapsed="false">
      <c r="A83" s="6"/>
      <c r="B83" s="10" t="s">
        <v>515</v>
      </c>
      <c r="C83" s="10" t="n">
        <f aca="false">(1.8+3.11)/2*1000</f>
        <v>2455</v>
      </c>
      <c r="D83" s="10" t="n">
        <f aca="false">(0.36+0.3)/2*1000</f>
        <v>330</v>
      </c>
      <c r="E83" s="13"/>
      <c r="F83" s="13"/>
      <c r="G83" s="13"/>
    </row>
    <row r="84" customFormat="false" ht="15.75" hidden="false" customHeight="true" outlineLevel="0" collapsed="false">
      <c r="A84" s="6"/>
      <c r="B84" s="10" t="s">
        <v>513</v>
      </c>
      <c r="C84" s="10" t="n">
        <f aca="false">(1.01+2.65)/2*1000</f>
        <v>1830</v>
      </c>
      <c r="D84" s="10" t="n">
        <f aca="false">(0.3+0.56)/2*1000</f>
        <v>430</v>
      </c>
      <c r="E84" s="13"/>
      <c r="F84" s="13"/>
      <c r="G84" s="13"/>
    </row>
    <row r="85" customFormat="false" ht="15.75" hidden="false" customHeight="true" outlineLevel="0" collapsed="false">
      <c r="A85" s="6"/>
      <c r="B85" s="10" t="s">
        <v>518</v>
      </c>
      <c r="C85" s="10" t="n">
        <f aca="false">(0.57+0.4)/2*1000</f>
        <v>485</v>
      </c>
      <c r="D85" s="10" t="n">
        <f aca="false">(0.17+0.13)/2*1000</f>
        <v>150</v>
      </c>
      <c r="E85" s="13"/>
      <c r="F85" s="13"/>
      <c r="G85" s="13"/>
    </row>
    <row r="86" customFormat="false" ht="15.75" hidden="false" customHeight="true" outlineLevel="0" collapsed="false">
      <c r="A86" s="6"/>
      <c r="B86" s="10" t="s">
        <v>524</v>
      </c>
      <c r="C86" s="10" t="n">
        <f aca="false">(0.03+0.33)/2*1000</f>
        <v>180</v>
      </c>
      <c r="D86" s="10" t="n">
        <f aca="false">(0.11+0.03)/2*1000</f>
        <v>70</v>
      </c>
      <c r="E86" s="13"/>
      <c r="F86" s="13"/>
      <c r="G86" s="13"/>
    </row>
    <row r="87" customFormat="false" ht="15.75" hidden="false" customHeight="true" outlineLevel="0" collapsed="false">
      <c r="A87" s="6"/>
      <c r="B87" s="10" t="s">
        <v>527</v>
      </c>
      <c r="C87" s="10" t="n">
        <f aca="false">(0.33+0.58)/2*1000</f>
        <v>455</v>
      </c>
      <c r="D87" s="10" t="n">
        <f aca="false">(0.08+0.14)/2*1000</f>
        <v>110</v>
      </c>
      <c r="E87" s="13"/>
      <c r="F87" s="13"/>
      <c r="G87" s="13"/>
    </row>
    <row r="88" customFormat="false" ht="15.75" hidden="false" customHeight="true" outlineLevel="0" collapsed="false">
      <c r="A88" s="6" t="s">
        <v>23</v>
      </c>
      <c r="B88" s="10" t="s">
        <v>510</v>
      </c>
      <c r="C88" s="10" t="n">
        <f aca="false">(3.22+2.99)/2*1000</f>
        <v>3105</v>
      </c>
      <c r="D88" s="10" t="n">
        <f aca="false">(0.08+0.3)/2*1000</f>
        <v>190</v>
      </c>
      <c r="E88" s="13"/>
      <c r="F88" s="13"/>
      <c r="G88" s="13"/>
    </row>
    <row r="89" customFormat="false" ht="15.75" hidden="false" customHeight="true" outlineLevel="0" collapsed="false">
      <c r="A89" s="6"/>
      <c r="B89" s="10" t="s">
        <v>514</v>
      </c>
      <c r="C89" s="10" t="n">
        <f aca="false">(0.48+1.17)/2*1000</f>
        <v>825</v>
      </c>
      <c r="D89" s="10" t="n">
        <f aca="false">(0.11+0.08)/2*1000</f>
        <v>95</v>
      </c>
      <c r="E89" s="13"/>
      <c r="F89" s="13"/>
      <c r="G89" s="13"/>
    </row>
    <row r="90" customFormat="false" ht="15.75" hidden="false" customHeight="true" outlineLevel="0" collapsed="false">
      <c r="A90" s="6"/>
      <c r="B90" s="10" t="s">
        <v>526</v>
      </c>
      <c r="C90" s="10" t="n">
        <f aca="false">(0.4+2.2)/2*1000</f>
        <v>1300</v>
      </c>
      <c r="D90" s="10" t="n">
        <f aca="false">(0.07+0.73)/2*1000</f>
        <v>400</v>
      </c>
      <c r="E90" s="13"/>
      <c r="F90" s="13"/>
      <c r="G90" s="13"/>
    </row>
    <row r="91" customFormat="false" ht="15.75" hidden="false" customHeight="true" outlineLevel="0" collapsed="false">
      <c r="A91" s="6"/>
      <c r="B91" s="10" t="s">
        <v>515</v>
      </c>
      <c r="C91" s="10" t="n">
        <f aca="false">(5+3.86)/2*1000</f>
        <v>4430</v>
      </c>
      <c r="D91" s="10" t="n">
        <f aca="false">(0.98+0.69)/2*1000</f>
        <v>835</v>
      </c>
      <c r="E91" s="13"/>
      <c r="F91" s="13"/>
      <c r="G91" s="13"/>
    </row>
    <row r="92" customFormat="false" ht="15.75" hidden="false" customHeight="true" outlineLevel="0" collapsed="false">
      <c r="A92" s="6"/>
      <c r="B92" s="10" t="s">
        <v>513</v>
      </c>
      <c r="C92" s="10" t="n">
        <f aca="false">(2.08+1.59)/2*1000</f>
        <v>1835</v>
      </c>
      <c r="D92" s="10" t="n">
        <f aca="false">(0.46+0.52)/2*1000</f>
        <v>490</v>
      </c>
      <c r="E92" s="13"/>
      <c r="F92" s="13"/>
      <c r="G92" s="13"/>
    </row>
    <row r="93" customFormat="false" ht="15.75" hidden="false" customHeight="true" outlineLevel="0" collapsed="false">
      <c r="A93" s="6"/>
      <c r="B93" s="10" t="s">
        <v>518</v>
      </c>
      <c r="C93" s="10" t="n">
        <f aca="false">(0.54+0.85)/2*1000</f>
        <v>695</v>
      </c>
      <c r="D93" s="10" t="n">
        <f aca="false">(0.14+0.19)/2*1000</f>
        <v>165</v>
      </c>
      <c r="E93" s="13"/>
      <c r="F93" s="13"/>
      <c r="G93" s="13"/>
    </row>
    <row r="94" customFormat="false" ht="15.75" hidden="false" customHeight="true" outlineLevel="0" collapsed="false">
      <c r="A94" s="6"/>
      <c r="B94" s="10" t="s">
        <v>524</v>
      </c>
      <c r="C94" s="10" t="n">
        <f aca="false">(0.4+0.74)/2*1000</f>
        <v>570</v>
      </c>
      <c r="D94" s="10" t="n">
        <f aca="false">(0.08+0.16)/2*1000</f>
        <v>120</v>
      </c>
      <c r="E94" s="13"/>
      <c r="F94" s="13"/>
      <c r="G94" s="13"/>
    </row>
    <row r="95" customFormat="false" ht="15.75" hidden="false" customHeight="true" outlineLevel="0" collapsed="false">
      <c r="A95" s="6"/>
      <c r="B95" s="10" t="s">
        <v>527</v>
      </c>
      <c r="C95" s="10" t="n">
        <f aca="false">(1.17+3.86)/2*1000</f>
        <v>2515</v>
      </c>
      <c r="D95" s="10" t="n">
        <f aca="false">(0.51+0.5)/2*1000</f>
        <v>505</v>
      </c>
      <c r="E95" s="13"/>
      <c r="F95" s="13"/>
      <c r="G95" s="13"/>
    </row>
    <row r="96" customFormat="false" ht="15.75" hidden="false" customHeight="true" outlineLevel="0" collapsed="false">
      <c r="A96" s="6" t="s">
        <v>24</v>
      </c>
      <c r="B96" s="10" t="s">
        <v>510</v>
      </c>
      <c r="C96" s="10" t="n">
        <f aca="false">(0.79+0.45)/2*1000</f>
        <v>620</v>
      </c>
      <c r="D96" s="10" t="n">
        <f aca="false">(0.16+0.31)/2*1000</f>
        <v>235</v>
      </c>
      <c r="E96" s="13"/>
      <c r="F96" s="13"/>
      <c r="G96" s="13"/>
    </row>
    <row r="97" customFormat="false" ht="15.75" hidden="false" customHeight="true" outlineLevel="0" collapsed="false">
      <c r="A97" s="6"/>
      <c r="B97" s="10" t="s">
        <v>514</v>
      </c>
      <c r="C97" s="10" t="n">
        <f aca="false">(0.1+0.57)/2*1000</f>
        <v>335</v>
      </c>
      <c r="D97" s="10" t="n">
        <f aca="false">(0.11+0.24)/2*1000</f>
        <v>175</v>
      </c>
      <c r="E97" s="13"/>
      <c r="F97" s="13"/>
      <c r="G97" s="13"/>
    </row>
    <row r="98" customFormat="false" ht="15.75" hidden="false" customHeight="true" outlineLevel="0" collapsed="false">
      <c r="A98" s="6"/>
      <c r="B98" s="10" t="s">
        <v>526</v>
      </c>
      <c r="C98" s="10" t="n">
        <f aca="false">(0.05+0.9)/2*1000</f>
        <v>475</v>
      </c>
      <c r="D98" s="10" t="n">
        <f aca="false">(0.11+0.34)/2*1000</f>
        <v>225</v>
      </c>
      <c r="E98" s="13"/>
      <c r="F98" s="13"/>
      <c r="G98" s="13"/>
    </row>
    <row r="99" customFormat="false" ht="15.75" hidden="false" customHeight="true" outlineLevel="0" collapsed="false">
      <c r="A99" s="6"/>
      <c r="B99" s="10" t="s">
        <v>515</v>
      </c>
      <c r="C99" s="10" t="n">
        <f aca="false">(2.23+1.94)/2*1000</f>
        <v>2085</v>
      </c>
      <c r="D99" s="10" t="n">
        <f aca="false">(0.3+0.74)/2*1000</f>
        <v>520</v>
      </c>
      <c r="E99" s="13"/>
      <c r="F99" s="13"/>
      <c r="G99" s="13"/>
    </row>
    <row r="100" customFormat="false" ht="15.75" hidden="false" customHeight="true" outlineLevel="0" collapsed="false">
      <c r="A100" s="6"/>
      <c r="B100" s="10" t="s">
        <v>513</v>
      </c>
      <c r="C100" s="10" t="n">
        <f aca="false">(1.31+0.36)/2*1000</f>
        <v>835</v>
      </c>
      <c r="D100" s="10" t="n">
        <f aca="false">(0.53+0.15)/2*1000</f>
        <v>340</v>
      </c>
      <c r="E100" s="13"/>
      <c r="F100" s="13"/>
      <c r="G100" s="13"/>
    </row>
    <row r="101" customFormat="false" ht="15.75" hidden="false" customHeight="true" outlineLevel="0" collapsed="false">
      <c r="A101" s="6"/>
      <c r="B101" s="10" t="s">
        <v>518</v>
      </c>
      <c r="C101" s="10" t="n">
        <f aca="false">(0.62+1.03)/2*1000</f>
        <v>825</v>
      </c>
      <c r="D101" s="10" t="n">
        <f aca="false">(0.45+0.28)/2*1000</f>
        <v>365</v>
      </c>
      <c r="E101" s="13"/>
      <c r="F101" s="13"/>
      <c r="G101" s="13"/>
    </row>
    <row r="102" customFormat="false" ht="15.75" hidden="false" customHeight="true" outlineLevel="0" collapsed="false">
      <c r="A102" s="6"/>
      <c r="B102" s="10" t="s">
        <v>524</v>
      </c>
      <c r="C102" s="10" t="n">
        <f aca="false">(0.33+0.4)/2*1000</f>
        <v>365</v>
      </c>
      <c r="D102" s="10" t="n">
        <f aca="false">(0.13+0.16)/2*1000</f>
        <v>145</v>
      </c>
      <c r="E102" s="13"/>
      <c r="F102" s="13"/>
      <c r="G102" s="13"/>
    </row>
    <row r="103" customFormat="false" ht="15.75" hidden="false" customHeight="true" outlineLevel="0" collapsed="false">
      <c r="A103" s="6"/>
      <c r="B103" s="10" t="s">
        <v>527</v>
      </c>
      <c r="C103" s="10" t="n">
        <f aca="false">(0.61+0.91)/2*1000</f>
        <v>760</v>
      </c>
      <c r="D103" s="10" t="n">
        <f aca="false">(0.56+0.25)/2*1000</f>
        <v>405</v>
      </c>
      <c r="E103" s="13"/>
      <c r="F103" s="13"/>
      <c r="G103" s="13"/>
    </row>
    <row r="104" customFormat="false" ht="15.75" hidden="false" customHeight="true" outlineLevel="0" collapsed="false">
      <c r="A104" s="6" t="s">
        <v>25</v>
      </c>
      <c r="B104" s="10" t="s">
        <v>510</v>
      </c>
      <c r="C104" s="10" t="n">
        <f aca="false">(0.86+0.77)/2*1000</f>
        <v>815</v>
      </c>
      <c r="D104" s="10" t="n">
        <f aca="false">(0.33+0.14)/2*1000</f>
        <v>235</v>
      </c>
      <c r="E104" s="13"/>
      <c r="F104" s="13"/>
      <c r="G104" s="13"/>
    </row>
    <row r="105" customFormat="false" ht="15.75" hidden="false" customHeight="true" outlineLevel="0" collapsed="false">
      <c r="A105" s="6"/>
      <c r="B105" s="10" t="s">
        <v>514</v>
      </c>
      <c r="C105" s="10" t="n">
        <f aca="false">(0.5+0.5)/2*1000</f>
        <v>500</v>
      </c>
      <c r="D105" s="10" t="n">
        <f aca="false">(0.25+0.11)/2*1000</f>
        <v>180</v>
      </c>
      <c r="E105" s="13"/>
      <c r="F105" s="13"/>
      <c r="G105" s="13"/>
    </row>
    <row r="106" customFormat="false" ht="15.75" hidden="false" customHeight="true" outlineLevel="0" collapsed="false">
      <c r="A106" s="6"/>
      <c r="B106" s="10" t="s">
        <v>526</v>
      </c>
      <c r="C106" s="10" t="n">
        <f aca="false">(1.38+2.63)/2*1000</f>
        <v>2005</v>
      </c>
      <c r="D106" s="10" t="n">
        <f aca="false">(0.22+0.68)/2*1000</f>
        <v>450</v>
      </c>
      <c r="E106" s="13"/>
      <c r="F106" s="13"/>
      <c r="G106" s="13"/>
    </row>
    <row r="107" customFormat="false" ht="15.75" hidden="false" customHeight="true" outlineLevel="0" collapsed="false">
      <c r="A107" s="6"/>
      <c r="B107" s="10" t="s">
        <v>515</v>
      </c>
      <c r="C107" s="10" t="n">
        <f aca="false">(2.5+1.99)/2*1000</f>
        <v>2245</v>
      </c>
      <c r="D107" s="10" t="n">
        <f aca="false">(0.38+0.23)/2*1000</f>
        <v>305</v>
      </c>
      <c r="E107" s="13"/>
      <c r="F107" s="13"/>
      <c r="G107" s="13"/>
    </row>
    <row r="108" customFormat="false" ht="15.75" hidden="false" customHeight="true" outlineLevel="0" collapsed="false">
      <c r="A108" s="6"/>
      <c r="B108" s="10" t="s">
        <v>513</v>
      </c>
      <c r="C108" s="10" t="n">
        <f aca="false">(0.49+0.98)/2*1000</f>
        <v>735</v>
      </c>
      <c r="D108" s="10" t="n">
        <f aca="false">(0.23+0.28)/2*1000</f>
        <v>255</v>
      </c>
      <c r="E108" s="13"/>
      <c r="F108" s="13"/>
      <c r="G108" s="13"/>
    </row>
    <row r="109" customFormat="false" ht="15.75" hidden="false" customHeight="true" outlineLevel="0" collapsed="false">
      <c r="A109" s="6"/>
      <c r="B109" s="10" t="s">
        <v>518</v>
      </c>
      <c r="C109" s="10" t="n">
        <f aca="false">(1.01+1.21)/2*1000</f>
        <v>1110</v>
      </c>
      <c r="D109" s="10" t="n">
        <f aca="false">(0.59+0.52)/2*1000</f>
        <v>555</v>
      </c>
      <c r="E109" s="13"/>
      <c r="F109" s="13"/>
      <c r="G109" s="13"/>
    </row>
    <row r="110" customFormat="false" ht="15.75" hidden="false" customHeight="true" outlineLevel="0" collapsed="false">
      <c r="A110" s="6"/>
      <c r="B110" s="10" t="s">
        <v>524</v>
      </c>
      <c r="C110" s="10" t="n">
        <f aca="false">(0.29+0.45)/2*1000</f>
        <v>370</v>
      </c>
      <c r="D110" s="10" t="n">
        <f aca="false">(0.18+0.05)/2*1000</f>
        <v>115</v>
      </c>
      <c r="E110" s="13"/>
      <c r="F110" s="13"/>
      <c r="G110" s="13"/>
    </row>
    <row r="111" customFormat="false" ht="15.75" hidden="false" customHeight="true" outlineLevel="0" collapsed="false">
      <c r="A111" s="6"/>
      <c r="B111" s="10" t="s">
        <v>527</v>
      </c>
      <c r="C111" s="10" t="n">
        <f aca="false">(0.87+1.98)/2*1000</f>
        <v>1425</v>
      </c>
      <c r="D111" s="10" t="n">
        <f aca="false">(0.25+0.33)/2*1000</f>
        <v>290</v>
      </c>
      <c r="E111" s="13"/>
      <c r="F111" s="13"/>
      <c r="G111" s="13"/>
    </row>
    <row r="112" customFormat="false" ht="15.75" hidden="false" customHeight="true" outlineLevel="0" collapsed="false">
      <c r="A112" s="13" t="s">
        <v>26</v>
      </c>
      <c r="B112" s="10" t="s">
        <v>510</v>
      </c>
      <c r="C112" s="10" t="n">
        <f aca="false">(0.05+0)/2*1000</f>
        <v>25</v>
      </c>
      <c r="D112" s="10" t="n">
        <f aca="false">(0.09)/2*1000</f>
        <v>45</v>
      </c>
      <c r="E112" s="13"/>
      <c r="F112" s="13"/>
      <c r="G112" s="13"/>
    </row>
    <row r="113" customFormat="false" ht="15.75" hidden="false" customHeight="true" outlineLevel="0" collapsed="false">
      <c r="A113" s="13"/>
      <c r="B113" s="10" t="s">
        <v>514</v>
      </c>
      <c r="C113" s="10" t="n">
        <f aca="false">(0.18+0.2)/2*1000</f>
        <v>190</v>
      </c>
      <c r="D113" s="10" t="n">
        <f aca="false">(0.07+0.07)/2*1000</f>
        <v>70</v>
      </c>
      <c r="E113" s="13"/>
      <c r="F113" s="13"/>
      <c r="G113" s="13"/>
    </row>
    <row r="114" customFormat="false" ht="15.75" hidden="false" customHeight="true" outlineLevel="0" collapsed="false">
      <c r="A114" s="13"/>
      <c r="B114" s="10" t="s">
        <v>526</v>
      </c>
      <c r="C114" s="10" t="n">
        <f aca="false">(1.73+3.38)/2*1000</f>
        <v>2555</v>
      </c>
      <c r="D114" s="10" t="n">
        <f aca="false">(0.25+0.42)/2*1000</f>
        <v>335</v>
      </c>
      <c r="E114" s="13"/>
      <c r="F114" s="13"/>
      <c r="G114" s="13"/>
    </row>
    <row r="115" customFormat="false" ht="15.75" hidden="false" customHeight="true" outlineLevel="0" collapsed="false">
      <c r="A115" s="13"/>
      <c r="B115" s="10" t="s">
        <v>515</v>
      </c>
      <c r="C115" s="10" t="n">
        <f aca="false">(0.5+0.07)/2*1000</f>
        <v>285</v>
      </c>
      <c r="D115" s="10" t="n">
        <f aca="false">(0.25+0.05)/2*1000</f>
        <v>150</v>
      </c>
      <c r="E115" s="13"/>
      <c r="F115" s="13"/>
      <c r="G115" s="13"/>
    </row>
    <row r="116" customFormat="false" ht="15.75" hidden="false" customHeight="true" outlineLevel="0" collapsed="false">
      <c r="A116" s="13"/>
      <c r="B116" s="10" t="s">
        <v>513</v>
      </c>
      <c r="C116" s="10" t="n">
        <f aca="false">(0+0.02)/2*1000</f>
        <v>10</v>
      </c>
      <c r="D116" s="10" t="n">
        <f aca="false">(0.03)/2*1000</f>
        <v>15</v>
      </c>
      <c r="E116" s="13"/>
      <c r="F116" s="13"/>
      <c r="G116" s="13"/>
    </row>
    <row r="117" customFormat="false" ht="15.75" hidden="false" customHeight="true" outlineLevel="0" collapsed="false">
      <c r="A117" s="13"/>
      <c r="B117" s="10" t="s">
        <v>518</v>
      </c>
      <c r="C117" s="10" t="n">
        <f aca="false">(0+0.12)/2*1000</f>
        <v>60</v>
      </c>
      <c r="D117" s="10" t="n">
        <f aca="false">(0.14)/2*1000</f>
        <v>70</v>
      </c>
      <c r="E117" s="13"/>
      <c r="F117" s="13"/>
      <c r="G117" s="13"/>
    </row>
    <row r="118" customFormat="false" ht="15.75" hidden="false" customHeight="true" outlineLevel="0" collapsed="false">
      <c r="A118" s="13"/>
      <c r="B118" s="10" t="s">
        <v>524</v>
      </c>
      <c r="C118" s="10" t="n">
        <f aca="false">(0.08+0.2)/2*1000</f>
        <v>140</v>
      </c>
      <c r="D118" s="10" t="n">
        <f aca="false">(0.09+0.18)/2*1000</f>
        <v>135</v>
      </c>
      <c r="E118" s="13"/>
      <c r="F118" s="13"/>
      <c r="G118" s="13"/>
    </row>
    <row r="119" customFormat="false" ht="15.75" hidden="false" customHeight="true" outlineLevel="0" collapsed="false">
      <c r="A119" s="13"/>
      <c r="B119" s="10" t="s">
        <v>527</v>
      </c>
      <c r="C119" s="10" t="n">
        <f aca="false">(4.45+4.15)/2*1000</f>
        <v>4300</v>
      </c>
      <c r="D119" s="10" t="n">
        <f aca="false">(0.61+0.65)/2*1000</f>
        <v>630</v>
      </c>
      <c r="E119" s="13"/>
      <c r="F119" s="13"/>
      <c r="G119" s="13"/>
    </row>
    <row r="120" customFormat="false" ht="15.75" hidden="false" customHeight="true" outlineLevel="0" collapsed="false">
      <c r="A120" s="13" t="s">
        <v>28</v>
      </c>
      <c r="B120" s="10" t="s">
        <v>510</v>
      </c>
      <c r="C120" s="10" t="n">
        <f aca="false">(0.57+0.73)/2*1000</f>
        <v>650</v>
      </c>
      <c r="D120" s="10" t="n">
        <f aca="false">(0.05+0.05)/2*1000</f>
        <v>50</v>
      </c>
      <c r="E120" s="13"/>
      <c r="F120" s="13"/>
      <c r="G120" s="13"/>
    </row>
    <row r="121" customFormat="false" ht="15.75" hidden="false" customHeight="true" outlineLevel="0" collapsed="false">
      <c r="A121" s="13"/>
      <c r="B121" s="10" t="s">
        <v>514</v>
      </c>
      <c r="C121" s="10" t="n">
        <f aca="false">(0.32+0.43)/2*1000</f>
        <v>375</v>
      </c>
      <c r="D121" s="10" t="n">
        <f aca="false">(0.05+0.09)/2*1000</f>
        <v>70</v>
      </c>
      <c r="E121" s="13"/>
      <c r="F121" s="13"/>
      <c r="G121" s="13"/>
    </row>
    <row r="122" customFormat="false" ht="15.75" hidden="false" customHeight="true" outlineLevel="0" collapsed="false">
      <c r="A122" s="13"/>
      <c r="B122" s="10" t="s">
        <v>526</v>
      </c>
      <c r="C122" s="10" t="n">
        <f aca="false">(0.15+0.27)/2*1000</f>
        <v>210</v>
      </c>
      <c r="D122" s="10" t="n">
        <f aca="false">(0.03+0.06)/2*1000</f>
        <v>45</v>
      </c>
      <c r="E122" s="13"/>
      <c r="F122" s="13"/>
      <c r="G122" s="13"/>
    </row>
    <row r="123" customFormat="false" ht="15.75" hidden="false" customHeight="true" outlineLevel="0" collapsed="false">
      <c r="A123" s="13"/>
      <c r="B123" s="10" t="s">
        <v>515</v>
      </c>
      <c r="C123" s="10" t="n">
        <f aca="false">(0.83+1.87)/2*1000</f>
        <v>1350</v>
      </c>
      <c r="D123" s="10" t="n">
        <f aca="false">(0.05+0.46)/2*1000</f>
        <v>255</v>
      </c>
      <c r="E123" s="13"/>
      <c r="F123" s="13"/>
      <c r="G123" s="13"/>
    </row>
    <row r="124" customFormat="false" ht="15.75" hidden="false" customHeight="true" outlineLevel="0" collapsed="false">
      <c r="A124" s="13"/>
      <c r="B124" s="10" t="s">
        <v>513</v>
      </c>
      <c r="C124" s="10" t="n">
        <f aca="false">(0.32+1.37)/2*1000</f>
        <v>845</v>
      </c>
      <c r="D124" s="10" t="n">
        <f aca="false">(0.04+0.16)/2*1000</f>
        <v>100</v>
      </c>
      <c r="E124" s="13"/>
      <c r="F124" s="13"/>
      <c r="G124" s="13"/>
    </row>
    <row r="125" customFormat="false" ht="15.75" hidden="false" customHeight="true" outlineLevel="0" collapsed="false">
      <c r="A125" s="13"/>
      <c r="B125" s="10" t="s">
        <v>518</v>
      </c>
      <c r="C125" s="10" t="n">
        <f aca="false">(0.1+0.13)/2*1000</f>
        <v>115</v>
      </c>
      <c r="D125" s="10" t="n">
        <f aca="false">(0.04+0.06)/2*1000</f>
        <v>50</v>
      </c>
      <c r="E125" s="13"/>
      <c r="F125" s="13"/>
      <c r="G125" s="13"/>
    </row>
    <row r="126" customFormat="false" ht="15.75" hidden="false" customHeight="true" outlineLevel="0" collapsed="false">
      <c r="A126" s="13"/>
      <c r="B126" s="10" t="s">
        <v>524</v>
      </c>
      <c r="C126" s="10" t="n">
        <f aca="false">(0.22+0.46)/2*1000</f>
        <v>340</v>
      </c>
      <c r="D126" s="10" t="n">
        <f aca="false">(0.07+0.11)/2*1000</f>
        <v>90</v>
      </c>
      <c r="E126" s="13"/>
      <c r="F126" s="13"/>
      <c r="G126" s="13"/>
    </row>
    <row r="127" customFormat="false" ht="15.75" hidden="false" customHeight="true" outlineLevel="0" collapsed="false">
      <c r="A127" s="13"/>
      <c r="B127" s="10" t="s">
        <v>527</v>
      </c>
      <c r="C127" s="10" t="n">
        <f aca="false">(1.91+2.98)/2*1000</f>
        <v>2445</v>
      </c>
      <c r="D127" s="10" t="n">
        <f aca="false">(0.17+0.28)/2*1000</f>
        <v>225</v>
      </c>
      <c r="E127" s="13"/>
      <c r="F127" s="13"/>
      <c r="G127" s="13"/>
    </row>
    <row r="128" customFormat="false" ht="15.75" hidden="false" customHeight="true" outlineLevel="0" collapsed="false">
      <c r="A128" s="6" t="s">
        <v>29</v>
      </c>
      <c r="B128" s="10" t="s">
        <v>510</v>
      </c>
      <c r="C128" s="10" t="n">
        <f aca="false">(0.52+0.97)/2*1000</f>
        <v>745</v>
      </c>
      <c r="D128" s="10" t="n">
        <f aca="false">(0.19+0.17)/2*1000</f>
        <v>180</v>
      </c>
      <c r="E128" s="13"/>
      <c r="F128" s="13"/>
      <c r="G128" s="13"/>
    </row>
    <row r="129" customFormat="false" ht="15.75" hidden="false" customHeight="true" outlineLevel="0" collapsed="false">
      <c r="A129" s="6"/>
      <c r="B129" s="10" t="s">
        <v>514</v>
      </c>
      <c r="C129" s="10" t="n">
        <f aca="false">(1.11+0.99)/2*1000</f>
        <v>1050</v>
      </c>
      <c r="D129" s="10" t="n">
        <f aca="false">(0.18+0.21)/2*1000</f>
        <v>195</v>
      </c>
      <c r="E129" s="13"/>
      <c r="F129" s="13"/>
      <c r="G129" s="13"/>
    </row>
    <row r="130" customFormat="false" ht="15.75" hidden="false" customHeight="true" outlineLevel="0" collapsed="false">
      <c r="A130" s="6"/>
      <c r="B130" s="10" t="s">
        <v>526</v>
      </c>
      <c r="C130" s="10" t="n">
        <f aca="false">(0.31+0.93)/2*1000</f>
        <v>620</v>
      </c>
      <c r="D130" s="10" t="n">
        <f aca="false">(0.15+0.29)/2*1000</f>
        <v>220</v>
      </c>
      <c r="E130" s="13"/>
      <c r="F130" s="13"/>
      <c r="G130" s="13"/>
    </row>
    <row r="131" customFormat="false" ht="15.75" hidden="false" customHeight="true" outlineLevel="0" collapsed="false">
      <c r="A131" s="6"/>
      <c r="B131" s="10" t="s">
        <v>515</v>
      </c>
      <c r="C131" s="10" t="n">
        <f aca="false">(3.97+9.23)/2*1000</f>
        <v>6600</v>
      </c>
      <c r="D131" s="10" t="n">
        <f aca="false">(0.49+1.71)/2*1000</f>
        <v>1100</v>
      </c>
      <c r="E131" s="13"/>
      <c r="F131" s="13"/>
      <c r="G131" s="13"/>
    </row>
    <row r="132" customFormat="false" ht="15.75" hidden="false" customHeight="true" outlineLevel="0" collapsed="false">
      <c r="A132" s="6"/>
      <c r="B132" s="10" t="s">
        <v>513</v>
      </c>
      <c r="C132" s="10" t="n">
        <f aca="false">(3.3+7.7)/2*1000</f>
        <v>5500</v>
      </c>
      <c r="D132" s="10" t="n">
        <f aca="false">(0.55+1.23)/2*1000</f>
        <v>890</v>
      </c>
      <c r="E132" s="13"/>
      <c r="F132" s="13"/>
      <c r="G132" s="13"/>
    </row>
    <row r="133" customFormat="false" ht="15.75" hidden="false" customHeight="true" outlineLevel="0" collapsed="false">
      <c r="A133" s="6"/>
      <c r="B133" s="10" t="s">
        <v>518</v>
      </c>
      <c r="C133" s="10" t="n">
        <f aca="false">(0.12+0.21)/2*1000</f>
        <v>165</v>
      </c>
      <c r="D133" s="10" t="n">
        <f aca="false">(0.09+0.22)/2*1000</f>
        <v>155</v>
      </c>
      <c r="E133" s="13"/>
      <c r="F133" s="13"/>
      <c r="G133" s="13"/>
    </row>
    <row r="134" customFormat="false" ht="15.75" hidden="false" customHeight="true" outlineLevel="0" collapsed="false">
      <c r="A134" s="6"/>
      <c r="B134" s="10" t="s">
        <v>524</v>
      </c>
      <c r="C134" s="10" t="n">
        <f aca="false">(0.43+1.26)/2*1000</f>
        <v>845</v>
      </c>
      <c r="D134" s="10" t="n">
        <f aca="false">(0.18+0.14)/2*1000</f>
        <v>160</v>
      </c>
      <c r="E134" s="13"/>
      <c r="F134" s="13"/>
      <c r="G134" s="13"/>
    </row>
    <row r="135" customFormat="false" ht="15.75" hidden="false" customHeight="true" outlineLevel="0" collapsed="false">
      <c r="A135" s="6"/>
      <c r="B135" s="10" t="s">
        <v>527</v>
      </c>
      <c r="C135" s="10" t="n">
        <f aca="false">(2.88+4.05)/2*1000</f>
        <v>3465</v>
      </c>
      <c r="D135" s="10" t="n">
        <f aca="false">(0.64+0.52)/2*1000</f>
        <v>580</v>
      </c>
      <c r="E135" s="13"/>
      <c r="F135" s="13"/>
      <c r="G135" s="13"/>
    </row>
    <row r="136" customFormat="false" ht="15.75" hidden="false" customHeight="true" outlineLevel="0" collapsed="false">
      <c r="A136" s="6" t="s">
        <v>528</v>
      </c>
      <c r="B136" s="10" t="s">
        <v>510</v>
      </c>
      <c r="C136" s="10" t="n">
        <f aca="false">(1.9+2.32)/2*1000</f>
        <v>2110</v>
      </c>
      <c r="D136" s="10" t="n">
        <f aca="false">(0.12+0.16)/2*1000</f>
        <v>140</v>
      </c>
      <c r="E136" s="13"/>
      <c r="F136" s="13"/>
      <c r="G136" s="13"/>
    </row>
    <row r="137" customFormat="false" ht="15.75" hidden="false" customHeight="true" outlineLevel="0" collapsed="false">
      <c r="A137" s="6"/>
      <c r="B137" s="10" t="s">
        <v>514</v>
      </c>
      <c r="C137" s="10" t="n">
        <f aca="false">(0.7+1.14)/2*1000</f>
        <v>920</v>
      </c>
      <c r="D137" s="10" t="n">
        <f aca="false">(0.16+0.23)/2*1000</f>
        <v>195</v>
      </c>
      <c r="E137" s="13"/>
      <c r="F137" s="13"/>
      <c r="G137" s="13"/>
    </row>
    <row r="138" customFormat="false" ht="15.75" hidden="false" customHeight="true" outlineLevel="0" collapsed="false">
      <c r="A138" s="6"/>
      <c r="B138" s="10" t="s">
        <v>526</v>
      </c>
      <c r="C138" s="10" t="n">
        <f aca="false">(0.17+0.2)/2*1000</f>
        <v>185</v>
      </c>
      <c r="D138" s="10" t="n">
        <f aca="false">(0.15+0.19)/2*1000</f>
        <v>170</v>
      </c>
      <c r="E138" s="13"/>
      <c r="F138" s="13"/>
      <c r="G138" s="13"/>
    </row>
    <row r="139" customFormat="false" ht="15.75" hidden="false" customHeight="true" outlineLevel="0" collapsed="false">
      <c r="A139" s="6"/>
      <c r="B139" s="10" t="s">
        <v>515</v>
      </c>
      <c r="C139" s="10" t="n">
        <f aca="false">(0.99+0.78)/2*1000</f>
        <v>885</v>
      </c>
      <c r="D139" s="10" t="n">
        <f aca="false">(0.13+0.55)/2*1000</f>
        <v>340</v>
      </c>
      <c r="E139" s="13"/>
      <c r="F139" s="13"/>
      <c r="G139" s="13"/>
    </row>
    <row r="140" customFormat="false" ht="15.75" hidden="false" customHeight="true" outlineLevel="0" collapsed="false">
      <c r="A140" s="6"/>
      <c r="B140" s="10" t="s">
        <v>513</v>
      </c>
      <c r="C140" s="10" t="n">
        <f aca="false">(0.05+0.11)/2*1000</f>
        <v>80</v>
      </c>
      <c r="D140" s="10" t="n">
        <f aca="false">(0.01+0.07)/2*1000</f>
        <v>40</v>
      </c>
      <c r="E140" s="13"/>
      <c r="F140" s="13"/>
      <c r="G140" s="13"/>
    </row>
    <row r="141" customFormat="false" ht="15.75" hidden="false" customHeight="true" outlineLevel="0" collapsed="false">
      <c r="A141" s="6"/>
      <c r="B141" s="10" t="s">
        <v>518</v>
      </c>
      <c r="C141" s="10" t="n">
        <f aca="false">(0.25+0.37)/2*1000</f>
        <v>310</v>
      </c>
      <c r="D141" s="10" t="n">
        <f aca="false">(0.07+0.2)/2*1000</f>
        <v>135</v>
      </c>
      <c r="E141" s="13"/>
      <c r="F141" s="13"/>
      <c r="G141" s="13"/>
    </row>
    <row r="142" customFormat="false" ht="15.75" hidden="false" customHeight="true" outlineLevel="0" collapsed="false">
      <c r="A142" s="6"/>
      <c r="B142" s="10" t="s">
        <v>524</v>
      </c>
      <c r="C142" s="10" t="n">
        <f aca="false">(0.54+0.97)/2*1000</f>
        <v>755</v>
      </c>
      <c r="D142" s="10" t="n">
        <f aca="false">(0.18+0.4)/2*1000</f>
        <v>290</v>
      </c>
      <c r="E142" s="13"/>
      <c r="F142" s="13"/>
      <c r="G142" s="13"/>
    </row>
    <row r="143" customFormat="false" ht="15.75" hidden="false" customHeight="true" outlineLevel="0" collapsed="false">
      <c r="A143" s="6"/>
      <c r="B143" s="10" t="s">
        <v>527</v>
      </c>
      <c r="C143" s="10" t="n">
        <f aca="false">(2.33+3.86)/2*1000</f>
        <v>3095</v>
      </c>
      <c r="D143" s="10" t="n">
        <f aca="false">(0.21+0.66)/2*1000</f>
        <v>435</v>
      </c>
      <c r="E143" s="13"/>
      <c r="F143" s="13"/>
      <c r="G143" s="13"/>
    </row>
    <row r="144" customFormat="false" ht="15.75" hidden="false" customHeight="true" outlineLevel="0" collapsed="false">
      <c r="A144" s="6" t="s">
        <v>31</v>
      </c>
      <c r="B144" s="10" t="s">
        <v>510</v>
      </c>
      <c r="C144" s="10" t="n">
        <f aca="false">(0.04+0.18)/2*1000</f>
        <v>110</v>
      </c>
      <c r="D144" s="10" t="n">
        <f aca="false">(0.01+0.04)/2*1000</f>
        <v>25</v>
      </c>
      <c r="E144" s="13"/>
      <c r="F144" s="13"/>
      <c r="G144" s="13"/>
    </row>
    <row r="145" customFormat="false" ht="15.75" hidden="false" customHeight="true" outlineLevel="0" collapsed="false">
      <c r="A145" s="6"/>
      <c r="B145" s="10" t="s">
        <v>514</v>
      </c>
      <c r="C145" s="10" t="n">
        <f aca="false">(0.06+0.09)/2*1000</f>
        <v>75</v>
      </c>
      <c r="D145" s="10" t="n">
        <f aca="false">(0.04+0.06)/2*1000</f>
        <v>50</v>
      </c>
      <c r="E145" s="13"/>
      <c r="F145" s="13"/>
      <c r="G145" s="13"/>
    </row>
    <row r="146" customFormat="false" ht="15.75" hidden="false" customHeight="true" outlineLevel="0" collapsed="false">
      <c r="A146" s="6"/>
      <c r="B146" s="10" t="s">
        <v>526</v>
      </c>
      <c r="C146" s="10" t="n">
        <f aca="false">(0.12+0.1)/2*1000</f>
        <v>110</v>
      </c>
      <c r="D146" s="10" t="n">
        <f aca="false">(0.03+0.07)/2*1000</f>
        <v>50</v>
      </c>
      <c r="E146" s="13"/>
      <c r="F146" s="13"/>
      <c r="G146" s="13"/>
    </row>
    <row r="147" customFormat="false" ht="15.75" hidden="false" customHeight="true" outlineLevel="0" collapsed="false">
      <c r="A147" s="6"/>
      <c r="B147" s="10" t="s">
        <v>515</v>
      </c>
      <c r="C147" s="10" t="n">
        <f aca="false">(0.23+0.1)/2*1000</f>
        <v>165</v>
      </c>
      <c r="D147" s="10" t="n">
        <f aca="false">(0.04+0.06)/2*1000</f>
        <v>50</v>
      </c>
      <c r="E147" s="13"/>
      <c r="F147" s="13"/>
      <c r="G147" s="13"/>
    </row>
    <row r="148" customFormat="false" ht="15.75" hidden="false" customHeight="true" outlineLevel="0" collapsed="false">
      <c r="A148" s="6"/>
      <c r="B148" s="10" t="s">
        <v>513</v>
      </c>
      <c r="C148" s="10" t="n">
        <f aca="false">(0+0.01)/2*1000</f>
        <v>5</v>
      </c>
      <c r="D148" s="10" t="n">
        <f aca="false">(0.01)/2*1000</f>
        <v>5</v>
      </c>
      <c r="E148" s="13"/>
      <c r="F148" s="13"/>
      <c r="G148" s="13"/>
    </row>
    <row r="149" customFormat="false" ht="15.75" hidden="false" customHeight="true" outlineLevel="0" collapsed="false">
      <c r="A149" s="6"/>
      <c r="B149" s="10" t="s">
        <v>518</v>
      </c>
      <c r="C149" s="10" t="n">
        <f aca="false">(0.03+0.02)/2*1000</f>
        <v>25</v>
      </c>
      <c r="D149" s="10" t="n">
        <f aca="false">(0.02+0.02)/2*1000</f>
        <v>20</v>
      </c>
      <c r="E149" s="13"/>
      <c r="F149" s="13"/>
      <c r="G149" s="13"/>
    </row>
    <row r="150" customFormat="false" ht="15.75" hidden="false" customHeight="true" outlineLevel="0" collapsed="false">
      <c r="A150" s="6"/>
      <c r="B150" s="10" t="s">
        <v>524</v>
      </c>
      <c r="C150" s="10" t="n">
        <f aca="false">(0.04+0.04)/2*1000</f>
        <v>40</v>
      </c>
      <c r="D150" s="10" t="n">
        <f aca="false">(0.01+0.05)/2*1000</f>
        <v>30</v>
      </c>
      <c r="E150" s="13"/>
      <c r="F150" s="13"/>
      <c r="G150" s="13"/>
    </row>
    <row r="151" customFormat="false" ht="15.75" hidden="false" customHeight="true" outlineLevel="0" collapsed="false">
      <c r="A151" s="6"/>
      <c r="B151" s="10" t="s">
        <v>527</v>
      </c>
      <c r="C151" s="10" t="n">
        <f aca="false">(1.59+2.39)/2*1000</f>
        <v>1990</v>
      </c>
      <c r="D151" s="10" t="n">
        <f aca="false">(0.18+0.39)/2*1000</f>
        <v>285</v>
      </c>
      <c r="E151" s="13"/>
      <c r="F151" s="13"/>
      <c r="G151" s="13"/>
    </row>
    <row r="152" customFormat="false" ht="15.75" hidden="false" customHeight="true" outlineLevel="0" collapsed="false">
      <c r="A152" s="10" t="s">
        <v>415</v>
      </c>
      <c r="D152" s="5" t="s">
        <v>529</v>
      </c>
      <c r="E152" s="10" t="s">
        <v>530</v>
      </c>
      <c r="F152" s="10" t="s">
        <v>531</v>
      </c>
      <c r="G152" s="10" t="s">
        <v>532</v>
      </c>
    </row>
    <row r="153" customFormat="false" ht="15.75" hidden="false" customHeight="true" outlineLevel="0" collapsed="false">
      <c r="A153" s="10" t="s">
        <v>45</v>
      </c>
      <c r="G153" s="10" t="s">
        <v>321</v>
      </c>
    </row>
    <row r="154" customFormat="false" ht="15.75" hidden="false" customHeight="true" outlineLevel="0" collapsed="false">
      <c r="A154" s="10" t="s">
        <v>49</v>
      </c>
    </row>
    <row r="155" customFormat="false" ht="15.75" hidden="false" customHeight="true" outlineLevel="0" collapsed="false">
      <c r="A155" s="10" t="s">
        <v>533</v>
      </c>
    </row>
    <row r="156" customFormat="false" ht="15.75" hidden="false" customHeight="true" outlineLevel="0" collapsed="false">
      <c r="A156" s="10" t="s">
        <v>534</v>
      </c>
    </row>
    <row r="157" customFormat="false" ht="15.75" hidden="false" customHeight="true" outlineLevel="0" collapsed="false">
      <c r="A157" s="21" t="s">
        <v>51</v>
      </c>
    </row>
    <row r="158" customFormat="false" ht="15.75" hidden="false" customHeight="true" outlineLevel="0" collapsed="false">
      <c r="A158" s="10" t="s">
        <v>52</v>
      </c>
    </row>
    <row r="159" customFormat="false" ht="15.75" hidden="false" customHeight="true" outlineLevel="0" collapsed="false">
      <c r="A159" s="10" t="s">
        <v>53</v>
      </c>
    </row>
    <row r="160" customFormat="false" ht="15.75" hidden="false" customHeight="true" outlineLevel="0" collapsed="false">
      <c r="A160" s="10" t="s">
        <v>54</v>
      </c>
    </row>
    <row r="161" customFormat="false" ht="15.75" hidden="false" customHeight="true" outlineLevel="0" collapsed="false">
      <c r="A161" s="10" t="s">
        <v>55</v>
      </c>
    </row>
    <row r="162" customFormat="false" ht="15.75" hidden="false" customHeight="true" outlineLevel="0" collapsed="false">
      <c r="A162" s="10" t="s">
        <v>56</v>
      </c>
    </row>
    <row r="163" customFormat="false" ht="15.75" hidden="false" customHeight="true" outlineLevel="0" collapsed="false">
      <c r="A163" s="10" t="s">
        <v>535</v>
      </c>
    </row>
    <row r="164" customFormat="false" ht="15.75" hidden="false" customHeight="true" outlineLevel="0" collapsed="false">
      <c r="A164" s="10" t="s">
        <v>536</v>
      </c>
    </row>
    <row r="165" customFormat="false" ht="15.75" hidden="false" customHeight="true" outlineLevel="0" collapsed="false">
      <c r="A165" s="10" t="s">
        <v>58</v>
      </c>
    </row>
    <row r="166" customFormat="false" ht="15.75" hidden="false" customHeight="true" outlineLevel="0" collapsed="false">
      <c r="A166" s="10" t="s">
        <v>59</v>
      </c>
    </row>
    <row r="167" customFormat="false" ht="15.75" hidden="false" customHeight="true" outlineLevel="0" collapsed="false">
      <c r="A167" s="10" t="s">
        <v>60</v>
      </c>
    </row>
    <row r="168" customFormat="false" ht="15.75" hidden="false" customHeight="true" outlineLevel="0" collapsed="false">
      <c r="A168" s="10" t="s">
        <v>61</v>
      </c>
    </row>
    <row r="169" customFormat="false" ht="15.75" hidden="false" customHeight="true" outlineLevel="0" collapsed="false">
      <c r="A169" s="10" t="s">
        <v>32</v>
      </c>
    </row>
    <row r="170" customFormat="false" ht="15.75" hidden="false" customHeight="true" outlineLevel="0" collapsed="false">
      <c r="A170" s="10" t="s">
        <v>62</v>
      </c>
    </row>
    <row r="171" customFormat="false" ht="15.75" hidden="false" customHeight="true" outlineLevel="0" collapsed="false">
      <c r="A171" s="10" t="s">
        <v>537</v>
      </c>
    </row>
    <row r="172" customFormat="false" ht="15.75" hidden="false" customHeight="true" outlineLevel="0" collapsed="false">
      <c r="A172" s="10" t="s">
        <v>538</v>
      </c>
    </row>
    <row r="173" customFormat="false" ht="15.75" hidden="false" customHeight="true" outlineLevel="0" collapsed="false">
      <c r="A173" s="10" t="s">
        <v>64</v>
      </c>
    </row>
    <row r="174" customFormat="false" ht="15.75" hidden="false" customHeight="true" outlineLevel="0" collapsed="false">
      <c r="A174" s="10" t="s">
        <v>65</v>
      </c>
    </row>
    <row r="175" customFormat="false" ht="15.75" hidden="false" customHeight="true" outlineLevel="0" collapsed="false">
      <c r="A175" s="10" t="s">
        <v>66</v>
      </c>
    </row>
    <row r="176" customFormat="false" ht="15.75" hidden="false" customHeight="true" outlineLevel="0" collapsed="false">
      <c r="A176" s="10" t="s">
        <v>67</v>
      </c>
      <c r="E176" s="18" t="s">
        <v>539</v>
      </c>
    </row>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mergeCells count="32">
    <mergeCell ref="E6:E9"/>
    <mergeCell ref="A10:A12"/>
    <mergeCell ref="E10:E24"/>
    <mergeCell ref="F10:F24"/>
    <mergeCell ref="G10:G24"/>
    <mergeCell ref="A13:A15"/>
    <mergeCell ref="A16:A18"/>
    <mergeCell ref="A19:A21"/>
    <mergeCell ref="A22:A24"/>
    <mergeCell ref="A25:A28"/>
    <mergeCell ref="E25:E31"/>
    <mergeCell ref="F25:F31"/>
    <mergeCell ref="G25:G31"/>
    <mergeCell ref="A29:A31"/>
    <mergeCell ref="A32:A39"/>
    <mergeCell ref="E32:E151"/>
    <mergeCell ref="F32:F151"/>
    <mergeCell ref="G32:G151"/>
    <mergeCell ref="A40:A47"/>
    <mergeCell ref="A48:A55"/>
    <mergeCell ref="A56:A63"/>
    <mergeCell ref="A64:A71"/>
    <mergeCell ref="A72:A79"/>
    <mergeCell ref="A80:A87"/>
    <mergeCell ref="A88:A95"/>
    <mergeCell ref="A96:A103"/>
    <mergeCell ref="A104:A111"/>
    <mergeCell ref="A112:A119"/>
    <mergeCell ref="A120:A127"/>
    <mergeCell ref="A128:A135"/>
    <mergeCell ref="A136:A143"/>
    <mergeCell ref="A144:A151"/>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199</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
  <dcterms:modified xsi:type="dcterms:W3CDTF">2021-03-29T13:59:11Z</dcterms:modified>
  <cp:revision>2</cp:revision>
  <dc:subject/>
  <dc:title/>
</cp:coreProperties>
</file>