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groli/Desktop/Thèse/Module bovins/Corrèze/"/>
    </mc:Choice>
  </mc:AlternateContent>
  <xr:revisionPtr revIDLastSave="0" documentId="13_ncr:1_{9E79614C-AC86-734B-AED6-BBC0595EDCC0}" xr6:coauthVersionLast="36" xr6:coauthVersionMax="36" xr10:uidLastSave="{00000000-0000-0000-0000-000000000000}"/>
  <bookViews>
    <workbookView xWindow="0" yWindow="460" windowWidth="28800" windowHeight="17540" activeTab="3" xr2:uid="{00000000-000D-0000-FFFF-FFFF00000000}"/>
  </bookViews>
  <sheets>
    <sheet name="param" sheetId="1" r:id="rId1"/>
    <sheet name="Dim produits" sheetId="3" r:id="rId2"/>
    <sheet name="Dim secteurs" sheetId="4" r:id="rId3"/>
    <sheet name="ter1" sheetId="5" r:id="rId4"/>
    <sheet name="data" sheetId="6" r:id="rId5"/>
    <sheet name="min_max" sheetId="7" r:id="rId6"/>
    <sheet name="other_constraints" sheetId="8" r:id="rId7"/>
  </sheets>
  <externalReferences>
    <externalReference r:id="rId8"/>
  </externalReferences>
  <definedNames>
    <definedName name="_xlnm._FilterDatabase" localSheetId="4" hidden="1">data!$A$1:$J$169</definedName>
  </definedNames>
  <calcPr calcId="181029"/>
</workbook>
</file>

<file path=xl/calcChain.xml><?xml version="1.0" encoding="utf-8"?>
<calcChain xmlns="http://schemas.openxmlformats.org/spreadsheetml/2006/main">
  <c r="H17" i="1" l="1"/>
  <c r="H12" i="1"/>
  <c r="H16" i="1"/>
  <c r="I22" i="6"/>
  <c r="H11" i="1"/>
  <c r="I14" i="1" s="1"/>
  <c r="I42" i="6"/>
  <c r="I34" i="6"/>
  <c r="I23" i="6"/>
  <c r="I25" i="6"/>
  <c r="I26" i="6"/>
  <c r="H13" i="1"/>
  <c r="I41" i="6"/>
  <c r="I33" i="6"/>
  <c r="I21" i="6"/>
  <c r="I147" i="6"/>
  <c r="I151" i="6"/>
  <c r="I137" i="6"/>
  <c r="I134" i="6"/>
  <c r="I89" i="6"/>
  <c r="I86" i="6"/>
  <c r="I72" i="6"/>
  <c r="I71" i="6"/>
  <c r="I5" i="6"/>
  <c r="I4" i="6"/>
  <c r="E43" i="1"/>
  <c r="D45" i="1"/>
  <c r="E42" i="1" s="1"/>
  <c r="I156" i="6"/>
  <c r="I155" i="6"/>
  <c r="I154" i="6"/>
  <c r="I153" i="6"/>
  <c r="I152" i="6"/>
  <c r="I150" i="6"/>
  <c r="I149" i="6"/>
  <c r="I148" i="6"/>
  <c r="I146" i="6"/>
  <c r="I145" i="6"/>
  <c r="I144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16" i="6"/>
  <c r="I83" i="6"/>
  <c r="I40" i="6"/>
  <c r="I29" i="6"/>
  <c r="I32" i="6"/>
  <c r="I37" i="6"/>
  <c r="I82" i="6"/>
  <c r="I15" i="6"/>
  <c r="I39" i="6"/>
  <c r="I28" i="6"/>
  <c r="I31" i="6"/>
  <c r="I36" i="6"/>
  <c r="I14" i="6"/>
  <c r="I81" i="6"/>
  <c r="I38" i="6"/>
  <c r="I27" i="6"/>
  <c r="I30" i="6"/>
  <c r="I35" i="6"/>
  <c r="I138" i="6" l="1"/>
  <c r="I7" i="6"/>
  <c r="I6" i="6"/>
  <c r="I2" i="6"/>
  <c r="I11" i="6"/>
  <c r="I3" i="6"/>
  <c r="I12" i="6"/>
  <c r="I10" i="6"/>
  <c r="I9" i="6"/>
  <c r="I74" i="6"/>
  <c r="I73" i="6"/>
  <c r="I135" i="6"/>
  <c r="I13" i="6"/>
  <c r="I69" i="6"/>
  <c r="I78" i="6"/>
  <c r="I70" i="6"/>
  <c r="I88" i="6"/>
  <c r="I8" i="6"/>
  <c r="I79" i="6"/>
  <c r="I132" i="6"/>
  <c r="I87" i="6"/>
  <c r="I85" i="6"/>
  <c r="I77" i="6"/>
  <c r="I84" i="6"/>
  <c r="I76" i="6"/>
  <c r="I142" i="6"/>
  <c r="I92" i="6"/>
  <c r="I93" i="6"/>
  <c r="I80" i="6"/>
  <c r="I140" i="6"/>
  <c r="I91" i="6"/>
  <c r="I75" i="6"/>
  <c r="I90" i="6"/>
  <c r="I18" i="6"/>
  <c r="I24" i="6"/>
  <c r="I94" i="6"/>
  <c r="I19" i="6"/>
  <c r="I95" i="6"/>
  <c r="E58" i="1"/>
  <c r="I133" i="6" s="1"/>
  <c r="B58" i="1"/>
  <c r="B51" i="1"/>
  <c r="I17" i="6" s="1"/>
  <c r="B50" i="1"/>
  <c r="I96" i="6" s="1"/>
  <c r="C5" i="1"/>
  <c r="B3" i="1"/>
  <c r="I20" i="6" s="1"/>
  <c r="I118" i="6" l="1"/>
  <c r="H18" i="1"/>
  <c r="I19" i="1" s="1"/>
  <c r="E8" i="1"/>
  <c r="I104" i="6" s="1"/>
  <c r="E16" i="1"/>
  <c r="I123" i="6" s="1"/>
  <c r="E20" i="1"/>
  <c r="I99" i="6" s="1"/>
  <c r="E28" i="1"/>
  <c r="I113" i="6" s="1"/>
  <c r="E36" i="1"/>
  <c r="I121" i="6" s="1"/>
  <c r="E21" i="1"/>
  <c r="I110" i="6" s="1"/>
  <c r="E25" i="1"/>
  <c r="I126" i="6" s="1"/>
  <c r="E29" i="1"/>
  <c r="I114" i="6" s="1"/>
  <c r="E33" i="1"/>
  <c r="I106" i="6" s="1"/>
  <c r="E37" i="1"/>
  <c r="I97" i="6" s="1"/>
  <c r="E41" i="1"/>
  <c r="I107" i="6" s="1"/>
  <c r="I139" i="6"/>
  <c r="I141" i="6"/>
  <c r="I136" i="6"/>
  <c r="E11" i="1"/>
  <c r="I102" i="6" s="1"/>
  <c r="E13" i="1"/>
  <c r="I127" i="6" s="1"/>
  <c r="E15" i="1"/>
  <c r="I98" i="6" s="1"/>
  <c r="E23" i="1"/>
  <c r="I100" i="6" s="1"/>
  <c r="E27" i="1"/>
  <c r="I125" i="6" s="1"/>
  <c r="E31" i="1"/>
  <c r="I112" i="6" s="1"/>
  <c r="E35" i="1"/>
  <c r="I111" i="6" s="1"/>
  <c r="E39" i="1"/>
  <c r="I117" i="6" s="1"/>
  <c r="E18" i="1"/>
  <c r="I130" i="6" s="1"/>
  <c r="E24" i="1"/>
  <c r="I103" i="6" s="1"/>
  <c r="E32" i="1"/>
  <c r="I109" i="6" s="1"/>
  <c r="E40" i="1"/>
  <c r="I119" i="6" s="1"/>
  <c r="I143" i="6"/>
  <c r="E9" i="1"/>
  <c r="I128" i="6" s="1"/>
  <c r="E12" i="1"/>
  <c r="I120" i="6" s="1"/>
  <c r="E14" i="1"/>
  <c r="I131" i="6" s="1"/>
  <c r="C3" i="1"/>
  <c r="E10" i="1"/>
  <c r="I122" i="6" s="1"/>
  <c r="E17" i="1"/>
  <c r="I108" i="6" s="1"/>
  <c r="E19" i="1"/>
  <c r="E22" i="1"/>
  <c r="I124" i="6" s="1"/>
  <c r="E26" i="1"/>
  <c r="I101" i="6" s="1"/>
  <c r="E30" i="1"/>
  <c r="I116" i="6" s="1"/>
  <c r="E34" i="1"/>
  <c r="I115" i="6" s="1"/>
  <c r="E38" i="1"/>
  <c r="I105" i="6" s="1"/>
  <c r="I129" i="6" l="1"/>
</calcChain>
</file>

<file path=xl/sharedStrings.xml><?xml version="1.0" encoding="utf-8"?>
<sst xmlns="http://schemas.openxmlformats.org/spreadsheetml/2006/main" count="887" uniqueCount="161">
  <si>
    <t>Surface agricole utile</t>
  </si>
  <si>
    <t>Part terres cultivées (hors prairies temporaires)</t>
  </si>
  <si>
    <t>Part prairies temporaires</t>
  </si>
  <si>
    <t>Part prairies permanentes</t>
  </si>
  <si>
    <t>Plan de culture (% de la production de matière sèche dans la production totale)</t>
  </si>
  <si>
    <t>Azote dans la production végétale (kgN/100kg MS)</t>
  </si>
  <si>
    <t>Plan de culture (% de la production d'azote dans la production totale)</t>
  </si>
  <si>
    <t>Blé</t>
  </si>
  <si>
    <t>Seigle</t>
  </si>
  <si>
    <t>Orge</t>
  </si>
  <si>
    <t>Avoine</t>
  </si>
  <si>
    <t>Fertilisation terres cultivées hors fixation symbiotique (tN)</t>
  </si>
  <si>
    <t>Maïs grain</t>
  </si>
  <si>
    <t>Y_max terres cultivés (tN)</t>
  </si>
  <si>
    <t>Y_max terres cultivées (kgN/ha)</t>
  </si>
  <si>
    <t>Riz</t>
  </si>
  <si>
    <t>Gamma</t>
  </si>
  <si>
    <t>Triticale</t>
  </si>
  <si>
    <t>Production totale (tN)</t>
  </si>
  <si>
    <t>Autres céréales</t>
  </si>
  <si>
    <t>Paille</t>
  </si>
  <si>
    <t>Fertilisation prairies hors fixation symbiotique (tN)</t>
  </si>
  <si>
    <t>Colza</t>
  </si>
  <si>
    <t>Y_max prairies (tN)</t>
  </si>
  <si>
    <t>Y_max prairies</t>
  </si>
  <si>
    <t>Tournesol</t>
  </si>
  <si>
    <t>Soja</t>
  </si>
  <si>
    <t>Autres oléagineux</t>
  </si>
  <si>
    <t>Fèves et féveroles</t>
  </si>
  <si>
    <t>Pois</t>
  </si>
  <si>
    <t>Autres protéagineux</t>
  </si>
  <si>
    <t>Betterave sucrière</t>
  </si>
  <si>
    <t>Pommes de terre</t>
  </si>
  <si>
    <t>Autres racines</t>
  </si>
  <si>
    <t>Pois vert</t>
  </si>
  <si>
    <t>Haricots secs</t>
  </si>
  <si>
    <t>Haricots verts</t>
  </si>
  <si>
    <t>Légumes secs</t>
  </si>
  <si>
    <t>Fruits secs</t>
  </si>
  <si>
    <t>Courges et melons</t>
  </si>
  <si>
    <t>Choux</t>
  </si>
  <si>
    <t>Légumes à feuilles</t>
  </si>
  <si>
    <t>Fruits</t>
  </si>
  <si>
    <t>Olives</t>
  </si>
  <si>
    <t>Agrumes</t>
  </si>
  <si>
    <t>Lin</t>
  </si>
  <si>
    <t>Chanvre</t>
  </si>
  <si>
    <t>Maïs fourrager</t>
  </si>
  <si>
    <t>Choux fourragers</t>
  </si>
  <si>
    <t>Luzerne</t>
  </si>
  <si>
    <t>Prairies temporaires et artificielles</t>
  </si>
  <si>
    <t>non compris</t>
  </si>
  <si>
    <t>Produits des prairies naturelles</t>
  </si>
  <si>
    <t>Population (millions d'habitants)</t>
  </si>
  <si>
    <t>Part de la population urbaine (en %)</t>
  </si>
  <si>
    <t>Ingestion de protéines (kg par pers et par an)</t>
  </si>
  <si>
    <t>d'origine végétale</t>
  </si>
  <si>
    <t>d'origine animale (hors produits de la mer)</t>
  </si>
  <si>
    <t>d'origine produits de la mer</t>
  </si>
  <si>
    <t>Taille du cheptel (en nombre de têtes)</t>
  </si>
  <si>
    <t>Excréments par tête (kgN/tête)</t>
  </si>
  <si>
    <t>Rendement viande (kg carcasse/tête)</t>
  </si>
  <si>
    <t>Co-rendement (kg/tête)</t>
  </si>
  <si>
    <t>Ovin</t>
  </si>
  <si>
    <t>Caprin</t>
  </si>
  <si>
    <t>Porçin</t>
  </si>
  <si>
    <t>Volailles</t>
  </si>
  <si>
    <t>Taux de volatilisation (%)</t>
  </si>
  <si>
    <t>Fertilisation synthétique sur les prairies (en kg/ha)</t>
  </si>
  <si>
    <t>Fertilisation synthétique sur les terres cultivées (en kg/ha)</t>
  </si>
  <si>
    <t>Bovins</t>
  </si>
  <si>
    <t>Nombre de têtes de vaches</t>
  </si>
  <si>
    <t>Module VSLM</t>
  </si>
  <si>
    <t>Module N-Bro</t>
  </si>
  <si>
    <t>Module N-GénBou</t>
  </si>
  <si>
    <t>Herbe pâturée</t>
  </si>
  <si>
    <t>Foin</t>
  </si>
  <si>
    <t>Enrubannage</t>
  </si>
  <si>
    <t>Céréales</t>
  </si>
  <si>
    <t>Lait</t>
  </si>
  <si>
    <t>Viande désossée</t>
  </si>
  <si>
    <t>Graisse comestible</t>
  </si>
  <si>
    <t>Abats</t>
  </si>
  <si>
    <t>Os</t>
  </si>
  <si>
    <t>Peau</t>
  </si>
  <si>
    <t>Sang</t>
  </si>
  <si>
    <t>Boyaux</t>
  </si>
  <si>
    <t>Tête et pied</t>
  </si>
  <si>
    <t>Graisse non-comestible</t>
  </si>
  <si>
    <t>Level</t>
  </si>
  <si>
    <t>Produits</t>
  </si>
  <si>
    <t>Equilibre matière ?</t>
  </si>
  <si>
    <t>Transportable entre régions ?</t>
  </si>
  <si>
    <t>Poids de consolidation</t>
  </si>
  <si>
    <t>Table de consolidation</t>
  </si>
  <si>
    <t>Sankey?</t>
  </si>
  <si>
    <t>Couleur</t>
  </si>
  <si>
    <t>Fertilisants</t>
  </si>
  <si>
    <t>Engrais synthétiques</t>
  </si>
  <si>
    <t>Azote fixé symbiotiquement</t>
  </si>
  <si>
    <t>Dépôt atmosphérique</t>
  </si>
  <si>
    <t>Déjections humaines</t>
  </si>
  <si>
    <t>Déjections animales</t>
  </si>
  <si>
    <t>Fumier</t>
  </si>
  <si>
    <t>Lisier</t>
  </si>
  <si>
    <t>En extérieur</t>
  </si>
  <si>
    <t>Produits végétaux</t>
  </si>
  <si>
    <t>Produits de culture</t>
  </si>
  <si>
    <t>Oléagineux</t>
  </si>
  <si>
    <t>Protéagineux</t>
  </si>
  <si>
    <t>Pois verts</t>
  </si>
  <si>
    <t>Racines</t>
  </si>
  <si>
    <t>Betterave à sucre</t>
  </si>
  <si>
    <t>Fourrages</t>
  </si>
  <si>
    <t>Maïs fourrage</t>
  </si>
  <si>
    <t>Luzerne et trèfle</t>
  </si>
  <si>
    <t>Fruits et légumes</t>
  </si>
  <si>
    <t>Productions végétales à usage non-alimentaire</t>
  </si>
  <si>
    <t>Produits des prairies</t>
  </si>
  <si>
    <t>Nourriture animale importée</t>
  </si>
  <si>
    <t>Produits animaux</t>
  </si>
  <si>
    <t>Comestible</t>
  </si>
  <si>
    <t>Œufs</t>
  </si>
  <si>
    <t>Non-comestible</t>
  </si>
  <si>
    <t>Pertes par lessivage</t>
  </si>
  <si>
    <t>Secteurs</t>
  </si>
  <si>
    <t>Poids de consolidation (1 par défaut)</t>
  </si>
  <si>
    <t>Alimentation humaine</t>
  </si>
  <si>
    <t>Terres cultivées</t>
  </si>
  <si>
    <t>Prairies</t>
  </si>
  <si>
    <t>Élevage</t>
  </si>
  <si>
    <t>VSLM</t>
  </si>
  <si>
    <t>N-Bro</t>
  </si>
  <si>
    <t>N-GénBou</t>
  </si>
  <si>
    <t>Ovins</t>
  </si>
  <si>
    <t>Caprins</t>
  </si>
  <si>
    <t>Porcins</t>
  </si>
  <si>
    <t>Atmosphère</t>
  </si>
  <si>
    <t>Fertilisation synthétique</t>
  </si>
  <si>
    <t>Importations nettes</t>
  </si>
  <si>
    <t>Exportations nettes</t>
  </si>
  <si>
    <t>Période</t>
  </si>
  <si>
    <t>Région</t>
  </si>
  <si>
    <t>Table</t>
  </si>
  <si>
    <t>Origine</t>
  </si>
  <si>
    <t>Destination</t>
  </si>
  <si>
    <t>Quantité_param</t>
  </si>
  <si>
    <t>Incertitude (%)</t>
  </si>
  <si>
    <t>2 sigma</t>
  </si>
  <si>
    <t>Paramétrisation</t>
  </si>
  <si>
    <t>R</t>
  </si>
  <si>
    <t>E</t>
  </si>
  <si>
    <t>min</t>
  </si>
  <si>
    <t>max</t>
  </si>
  <si>
    <t>id</t>
  </si>
  <si>
    <t>Ressources / Emplois</t>
  </si>
  <si>
    <t>eq = 0</t>
  </si>
  <si>
    <t>eq &lt;= 0</t>
  </si>
  <si>
    <t>eq &gt;= 0</t>
  </si>
  <si>
    <t>Hydrosphère</t>
  </si>
  <si>
    <t>ddd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</si>
</sst>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 * #,##0.00_)\ _€_ ;_ * \(#,##0.00\)\ _€_ ;_ * &quot;-&quot;??_)\ _€_ ;_ @_ "/>
    <numFmt numFmtId="164" formatCode="0.000"/>
    <numFmt numFmtId="165" formatCode="0.0000%"/>
    <numFmt numFmtId="166" formatCode="0.00000%"/>
    <numFmt numFmtId="167" formatCode="0.0000"/>
    <numFmt numFmtId="168" formatCode="0.00000000%"/>
    <numFmt numFmtId="169" formatCode="0.0000000%"/>
    <numFmt numFmtId="170" formatCode="0.0000000"/>
    <numFmt numFmtId="171" formatCode="0.0%"/>
    <numFmt numFmtId="172" formatCode="0.000%"/>
    <numFmt numFmtId="173" formatCode="0.0"/>
  </numFmts>
  <fonts count="17"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i/>
      <sz val="14"/>
      <name val="Calibri"/>
      <family val="2"/>
      <scheme val="minor"/>
    </font>
    <font>
      <sz val="11"/>
      <color rgb="FF000000"/>
      <name val="Calibri"/>
      <family val="2"/>
    </font>
    <font>
      <i/>
      <sz val="12"/>
      <name val="Calibri"/>
      <family val="2"/>
      <scheme val="minor"/>
    </font>
    <font>
      <sz val="12"/>
      <name val="Calibri (Corps)_x0000_"/>
    </font>
    <font>
      <sz val="12"/>
      <color theme="1"/>
      <name val="Calibri (Corps)_x0000_"/>
    </font>
    <font>
      <sz val="12"/>
      <color theme="8"/>
      <name val="Calibri (Corps)_x0000_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9" fontId="10" fillId="0" borderId="0"/>
    <xf numFmtId="43" fontId="10" fillId="0" borderId="0"/>
  </cellStyleXfs>
  <cellXfs count="62">
    <xf numFmtId="0" fontId="0" fillId="0" borderId="0" xfId="0"/>
    <xf numFmtId="0" fontId="1" fillId="0" borderId="0" xfId="0" applyFont="1" applyAlignment="1">
      <alignment horizontal="justify" vertical="center"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3" fontId="1" fillId="0" borderId="0" xfId="0" applyNumberFormat="1" applyFont="1"/>
    <xf numFmtId="0" fontId="2" fillId="0" borderId="0" xfId="0" applyFont="1"/>
    <xf numFmtId="0" fontId="0" fillId="2" borderId="0" xfId="0" applyFill="1" applyAlignment="1">
      <alignment horizontal="left" vertical="center"/>
    </xf>
    <xf numFmtId="0" fontId="6" fillId="0" borderId="0" xfId="0" applyFont="1"/>
    <xf numFmtId="0" fontId="1" fillId="0" borderId="0" xfId="0" applyFont="1" applyAlignment="1">
      <alignment horizontal="justify" wrapText="1"/>
    </xf>
    <xf numFmtId="0" fontId="6" fillId="0" borderId="0" xfId="0" applyFont="1" applyAlignment="1">
      <alignment horizontal="justify" vertical="center" wrapText="1"/>
    </xf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2" fontId="7" fillId="0" borderId="0" xfId="0" applyNumberFormat="1" applyFont="1"/>
    <xf numFmtId="9" fontId="7" fillId="0" borderId="0" xfId="0" applyNumberFormat="1" applyFont="1"/>
    <xf numFmtId="0" fontId="9" fillId="0" borderId="0" xfId="0" applyFont="1"/>
    <xf numFmtId="0" fontId="0" fillId="0" borderId="0" xfId="0" applyAlignment="1">
      <alignment horizontal="left"/>
    </xf>
    <xf numFmtId="0" fontId="11" fillId="0" borderId="0" xfId="0" applyFont="1"/>
    <xf numFmtId="3" fontId="0" fillId="0" borderId="0" xfId="0" applyNumberFormat="1"/>
    <xf numFmtId="9" fontId="0" fillId="0" borderId="0" xfId="0" applyNumberFormat="1"/>
    <xf numFmtId="0" fontId="0" fillId="2" borderId="0" xfId="0" applyFill="1"/>
    <xf numFmtId="0" fontId="12" fillId="0" borderId="0" xfId="0" applyFont="1"/>
    <xf numFmtId="2" fontId="12" fillId="0" borderId="0" xfId="0" applyNumberFormat="1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2" borderId="0" xfId="0" applyFont="1" applyFill="1" applyAlignment="1">
      <alignment horizontal="left" vertical="center"/>
    </xf>
    <xf numFmtId="0" fontId="13" fillId="0" borderId="1" xfId="0" applyFont="1" applyBorder="1" applyAlignment="1">
      <alignment horizontal="center" vertical="top"/>
    </xf>
    <xf numFmtId="1" fontId="1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center"/>
    </xf>
    <xf numFmtId="0" fontId="14" fillId="0" borderId="1" xfId="0" applyFont="1" applyBorder="1" applyAlignment="1">
      <alignment horizontal="center"/>
    </xf>
    <xf numFmtId="0" fontId="0" fillId="0" borderId="3" xfId="0" applyBorder="1"/>
    <xf numFmtId="0" fontId="0" fillId="0" borderId="6" xfId="0" applyBorder="1"/>
    <xf numFmtId="0" fontId="14" fillId="0" borderId="2" xfId="0" applyFont="1" applyBorder="1"/>
    <xf numFmtId="0" fontId="0" fillId="0" borderId="4" xfId="0" applyBorder="1"/>
    <xf numFmtId="0" fontId="0" fillId="0" borderId="5" xfId="0" applyBorder="1"/>
    <xf numFmtId="0" fontId="1" fillId="0" borderId="0" xfId="0" applyFont="1" applyAlignment="1">
      <alignment horizontal="left" vertical="center"/>
    </xf>
    <xf numFmtId="9" fontId="10" fillId="0" borderId="0" xfId="2"/>
    <xf numFmtId="0" fontId="1" fillId="0" borderId="0" xfId="0" applyFont="1"/>
    <xf numFmtId="165" fontId="10" fillId="0" borderId="0" xfId="2" applyNumberFormat="1"/>
    <xf numFmtId="165" fontId="0" fillId="0" borderId="0" xfId="2" applyNumberFormat="1" applyFont="1"/>
    <xf numFmtId="166" fontId="0" fillId="2" borderId="0" xfId="2" applyNumberFormat="1" applyFont="1" applyFill="1"/>
    <xf numFmtId="167" fontId="0" fillId="0" borderId="0" xfId="0" applyNumberFormat="1"/>
    <xf numFmtId="168" fontId="0" fillId="0" borderId="0" xfId="2" applyNumberFormat="1" applyFont="1"/>
    <xf numFmtId="166" fontId="0" fillId="0" borderId="0" xfId="0" applyNumberFormat="1"/>
    <xf numFmtId="169" fontId="0" fillId="0" borderId="0" xfId="2" applyNumberFormat="1" applyFont="1"/>
    <xf numFmtId="169" fontId="0" fillId="0" borderId="0" xfId="0" applyNumberFormat="1"/>
    <xf numFmtId="172" fontId="10" fillId="0" borderId="5" xfId="2" applyNumberFormat="1" applyBorder="1"/>
    <xf numFmtId="172" fontId="10" fillId="0" borderId="7" xfId="2" applyNumberFormat="1" applyBorder="1"/>
    <xf numFmtId="172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/>
    <xf numFmtId="171" fontId="10" fillId="0" borderId="0" xfId="2" applyNumberFormat="1"/>
    <xf numFmtId="170" fontId="15" fillId="0" borderId="0" xfId="0" applyNumberFormat="1" applyFont="1"/>
    <xf numFmtId="43" fontId="10" fillId="0" borderId="0" xfId="3"/>
    <xf numFmtId="173" fontId="16" fillId="0" borderId="0" xfId="0" applyNumberFormat="1" applyFont="1"/>
    <xf numFmtId="2" fontId="1" fillId="2" borderId="0" xfId="0" applyNumberFormat="1" applyFont="1" applyFill="1"/>
    <xf numFmtId="171" fontId="0" fillId="2" borderId="0" xfId="2" applyNumberFormat="1" applyFont="1" applyFill="1"/>
    <xf numFmtId="0" fontId="0" fillId="0" borderId="0" xfId="0" applyFill="1" applyAlignment="1">
      <alignment horizontal="left" vertical="center"/>
    </xf>
    <xf numFmtId="0" fontId="14" fillId="0" borderId="0" xfId="0" applyFont="1"/>
  </cellXfs>
  <cellStyles count="4">
    <cellStyle name="Milliers" xfId="3" builtinId="3"/>
    <cellStyle name="Normal" xfId="0" builtinId="0"/>
    <cellStyle name="Pourcentage" xfId="2" builtinId="5"/>
    <cellStyle name="Texte explicatif 6" xfId="1" xr:uid="{00000000-0005-0000-0000-000001000000}"/>
  </cellStyles>
  <dxfs count="15"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ule%20corrige&#7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 corrigé"/>
      <sheetName val="Feuil1"/>
    </sheetNames>
    <sheetDataSet>
      <sheetData sheetId="0">
        <row r="54">
          <cell r="D54">
            <v>6054.7599999999993</v>
          </cell>
        </row>
        <row r="55">
          <cell r="D55">
            <v>1117.8899999999999</v>
          </cell>
          <cell r="I55">
            <v>6861.8499999999995</v>
          </cell>
        </row>
        <row r="56">
          <cell r="D56">
            <v>562.81000000000006</v>
          </cell>
          <cell r="I56">
            <v>1470.45</v>
          </cell>
        </row>
        <row r="57">
          <cell r="D57">
            <v>123.28</v>
          </cell>
          <cell r="I57">
            <v>594.87</v>
          </cell>
        </row>
        <row r="58">
          <cell r="D58">
            <v>511.89</v>
          </cell>
          <cell r="I58">
            <v>211.74</v>
          </cell>
        </row>
        <row r="59">
          <cell r="I59">
            <v>536.46</v>
          </cell>
        </row>
        <row r="60">
          <cell r="D60">
            <v>511.89</v>
          </cell>
        </row>
        <row r="61">
          <cell r="D61">
            <v>220.60999999999999</v>
          </cell>
          <cell r="I61">
            <v>536.46</v>
          </cell>
        </row>
        <row r="62">
          <cell r="D62">
            <v>2.94</v>
          </cell>
          <cell r="I62">
            <v>303.33000000000004</v>
          </cell>
        </row>
        <row r="63">
          <cell r="D63">
            <v>17.13</v>
          </cell>
          <cell r="I63">
            <v>4.04</v>
          </cell>
        </row>
        <row r="64">
          <cell r="D64">
            <v>107.56</v>
          </cell>
          <cell r="I64">
            <v>23.55</v>
          </cell>
        </row>
        <row r="65">
          <cell r="D65">
            <v>82.82</v>
          </cell>
          <cell r="I65">
            <v>147.88999999999999</v>
          </cell>
        </row>
        <row r="66">
          <cell r="D66">
            <v>18.82</v>
          </cell>
          <cell r="I66">
            <v>113.88</v>
          </cell>
        </row>
        <row r="67">
          <cell r="D67">
            <v>24.5</v>
          </cell>
          <cell r="I67">
            <v>25.880000000000003</v>
          </cell>
        </row>
        <row r="68">
          <cell r="D68">
            <v>35.450000000000003</v>
          </cell>
          <cell r="I68">
            <v>33.69</v>
          </cell>
        </row>
        <row r="69">
          <cell r="D69">
            <v>2.94</v>
          </cell>
          <cell r="I69">
            <v>48.74</v>
          </cell>
        </row>
        <row r="70">
          <cell r="I70">
            <v>4.04</v>
          </cell>
        </row>
        <row r="71">
          <cell r="D71">
            <v>7346</v>
          </cell>
        </row>
        <row r="72">
          <cell r="D72">
            <v>161.68</v>
          </cell>
          <cell r="I72">
            <v>8433.89</v>
          </cell>
        </row>
        <row r="73">
          <cell r="I73">
            <v>158.66</v>
          </cell>
        </row>
        <row r="74">
          <cell r="N74">
            <v>2796.29</v>
          </cell>
        </row>
        <row r="75">
          <cell r="N75">
            <v>595.17999999999995</v>
          </cell>
        </row>
        <row r="76">
          <cell r="N76">
            <v>272.61</v>
          </cell>
        </row>
        <row r="77">
          <cell r="N77">
            <v>94.330000000000013</v>
          </cell>
        </row>
        <row r="78">
          <cell r="N78">
            <v>191.55</v>
          </cell>
        </row>
        <row r="80">
          <cell r="N80">
            <v>191.55</v>
          </cell>
        </row>
        <row r="81">
          <cell r="N81">
            <v>98.95</v>
          </cell>
        </row>
        <row r="82">
          <cell r="N82">
            <v>1.32</v>
          </cell>
        </row>
        <row r="83">
          <cell r="N83">
            <v>7.6899999999999995</v>
          </cell>
        </row>
        <row r="84">
          <cell r="N84">
            <v>48.24</v>
          </cell>
        </row>
        <row r="85">
          <cell r="N85">
            <v>37.150000000000006</v>
          </cell>
        </row>
        <row r="86">
          <cell r="N86">
            <v>8.44</v>
          </cell>
        </row>
        <row r="87">
          <cell r="N87">
            <v>10.99</v>
          </cell>
        </row>
        <row r="88">
          <cell r="N88">
            <v>15.89</v>
          </cell>
        </row>
        <row r="89">
          <cell r="N89">
            <v>1.32</v>
          </cell>
        </row>
        <row r="91">
          <cell r="N91">
            <v>3528.4300000000003</v>
          </cell>
        </row>
        <row r="92">
          <cell r="N92">
            <v>64.08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91"/>
  <sheetViews>
    <sheetView topLeftCell="A4" zoomScale="99" workbookViewId="0">
      <selection activeCell="H17" sqref="H17"/>
    </sheetView>
  </sheetViews>
  <sheetFormatPr baseColWidth="10" defaultRowHeight="16"/>
  <cols>
    <col min="2" max="2" width="13.83203125" style="53" bestFit="1" customWidth="1"/>
    <col min="3" max="3" width="11.33203125" style="53" bestFit="1" customWidth="1"/>
    <col min="4" max="4" width="11" style="53" bestFit="1" customWidth="1"/>
    <col min="5" max="5" width="11.33203125" style="53" bestFit="1" customWidth="1"/>
    <col min="8" max="8" width="11" style="53" bestFit="1" customWidth="1"/>
    <col min="9" max="9" width="12.33203125" style="53" bestFit="1" customWidth="1"/>
  </cols>
  <sheetData>
    <row r="2" spans="1:12">
      <c r="A2" t="s">
        <v>0</v>
      </c>
      <c r="B2">
        <v>238271</v>
      </c>
    </row>
    <row r="3" spans="1:12">
      <c r="A3" t="s">
        <v>1</v>
      </c>
      <c r="B3" s="41">
        <f>1-B4-B5</f>
        <v>9.5924000000000009E-2</v>
      </c>
      <c r="C3">
        <f>B2*(B3+B4)</f>
        <v>76100.898148000007</v>
      </c>
    </row>
    <row r="4" spans="1:12">
      <c r="A4" t="s">
        <v>2</v>
      </c>
      <c r="B4" s="41">
        <v>0.223464</v>
      </c>
    </row>
    <row r="5" spans="1:12">
      <c r="A5" t="s">
        <v>3</v>
      </c>
      <c r="B5" s="41">
        <v>0.68061199999999999</v>
      </c>
      <c r="C5">
        <f>B2*B5</f>
        <v>162170.10185199999</v>
      </c>
    </row>
    <row r="7" spans="1:12">
      <c r="A7" t="s">
        <v>4</v>
      </c>
      <c r="D7" s="22" t="s">
        <v>5</v>
      </c>
      <c r="E7" s="22" t="s">
        <v>6</v>
      </c>
    </row>
    <row r="8" spans="1:12">
      <c r="A8" t="s">
        <v>7</v>
      </c>
      <c r="B8" s="41">
        <v>0.10388590542719631</v>
      </c>
      <c r="D8" s="22">
        <v>1.95</v>
      </c>
      <c r="E8" s="43">
        <f>B8*D8/D45</f>
        <v>0.17646575787745439</v>
      </c>
      <c r="L8" s="25"/>
    </row>
    <row r="9" spans="1:12">
      <c r="A9" t="s">
        <v>8</v>
      </c>
      <c r="B9" s="41">
        <v>9.2864657089355637E-3</v>
      </c>
      <c r="D9" s="22">
        <v>1.76</v>
      </c>
      <c r="E9" s="43">
        <f t="shared" ref="E9:E41" si="0">B9*D9/D$45</f>
        <v>1.4237453945075966E-2</v>
      </c>
      <c r="L9" s="52"/>
    </row>
    <row r="10" spans="1:12">
      <c r="A10" t="s">
        <v>9</v>
      </c>
      <c r="B10" s="41">
        <v>4.7935356795850023E-2</v>
      </c>
      <c r="D10" s="22">
        <v>1.76</v>
      </c>
      <c r="E10" s="43">
        <f t="shared" si="0"/>
        <v>7.3491622767207318E-2</v>
      </c>
      <c r="L10" s="25"/>
    </row>
    <row r="11" spans="1:12">
      <c r="A11" t="s">
        <v>10</v>
      </c>
      <c r="B11" s="41">
        <v>5.8247205171363158E-3</v>
      </c>
      <c r="D11" s="22">
        <v>2.08</v>
      </c>
      <c r="E11" s="43">
        <f t="shared" si="0"/>
        <v>1.0553770157793215E-2</v>
      </c>
      <c r="G11" t="s">
        <v>11</v>
      </c>
      <c r="H11" s="44">
        <f>1000*(0.094*param!B49*param!B47*param!B46+0.0227*param!B49*(1-param!B47)*param!B46)+10.57*param!B2*(param!B3+B4)/1000+param!B61*param!B2*(param!B3+B4)*(1-param!C61)/1000+((('[1]module corrigé'!D71+'[1]module corrigé'!I72+'[1]module corrigé'!N91)*1000*0.546*(1-0.102)+param!D55*param!B55*0.452*(1-0.101)+param!D56*param!B56*0.306*(1-0.101))/1000)*(param!B4/(param!B4+param!B5))+(('[1]module corrigé'!D71+'[1]module corrigé'!I72+'[1]module corrigé'!N91)*0.454*0.827*(1-0.2704)+('[1]module corrigé'!N92+'[1]module corrigé'!I73+'[1]module corrigé'!D72))+(param!D55*param!B55*0.548*(1-0.2704)+param!D56*param!B56*0.694*(1-0.2704)+param!D57*param!B57*0.272*(1-0.24816)+param!D58*param!B58*0.1*(1-0.364))/1000+(('[1]module corrigé'!D71+'[1]module corrigé'!I72+'[1]module corrigé'!N91)*1000*0.454*0.173*(1-0.2781)+param!D57*param!B57*0.728*(1-0.2754)+param!D58*param!B58*0.9*(1-0.3605))/1000</f>
        <v>12910.231906040894</v>
      </c>
      <c r="L11" s="52"/>
    </row>
    <row r="12" spans="1:12">
      <c r="A12" t="s">
        <v>12</v>
      </c>
      <c r="B12" s="41">
        <v>3.5655236833437687E-2</v>
      </c>
      <c r="D12" s="22">
        <v>1.52</v>
      </c>
      <c r="E12" s="43">
        <f t="shared" si="0"/>
        <v>4.7210230244191728E-2</v>
      </c>
      <c r="G12" t="s">
        <v>13</v>
      </c>
      <c r="H12">
        <f>J12*B2*(B3+B4)/1000</f>
        <v>12226.890865255778</v>
      </c>
      <c r="I12" t="s">
        <v>14</v>
      </c>
      <c r="J12">
        <v>160.666840507941</v>
      </c>
      <c r="L12" s="52"/>
    </row>
    <row r="13" spans="1:12">
      <c r="A13" t="s">
        <v>15</v>
      </c>
      <c r="B13" s="41">
        <v>0</v>
      </c>
      <c r="D13" s="22">
        <v>1.07</v>
      </c>
      <c r="E13" s="43">
        <f t="shared" si="0"/>
        <v>0</v>
      </c>
      <c r="G13" t="s">
        <v>16</v>
      </c>
      <c r="H13">
        <f>1.23*(E19+E21+E22+E27+E28+E29)</f>
        <v>8.6897736860129717E-3</v>
      </c>
      <c r="L13" s="52"/>
    </row>
    <row r="14" spans="1:12">
      <c r="A14" t="s">
        <v>17</v>
      </c>
      <c r="B14" s="41">
        <v>0.1129211750046379</v>
      </c>
      <c r="D14" s="22">
        <v>1.74</v>
      </c>
      <c r="E14" s="43">
        <f t="shared" si="0"/>
        <v>0.17115667534101517</v>
      </c>
      <c r="G14" t="s">
        <v>18</v>
      </c>
      <c r="H14">
        <v>6292.5455999570213</v>
      </c>
      <c r="I14">
        <f>H13*H14^2+((1-H13)*H12+H11)*H14-H11*H12</f>
        <v>-6.4074993133544922E-6</v>
      </c>
      <c r="L14" s="25"/>
    </row>
    <row r="15" spans="1:12">
      <c r="A15" t="s">
        <v>19</v>
      </c>
      <c r="B15" s="41">
        <v>2.7360763121051439E-2</v>
      </c>
      <c r="D15" s="22">
        <v>1.8</v>
      </c>
      <c r="E15" s="43">
        <f t="shared" si="0"/>
        <v>4.2901247038490374E-2</v>
      </c>
      <c r="L15" s="52"/>
    </row>
    <row r="16" spans="1:12">
      <c r="A16" t="s">
        <v>20</v>
      </c>
      <c r="B16" s="41">
        <v>0.22459070653008389</v>
      </c>
      <c r="D16" s="22">
        <v>0.5</v>
      </c>
      <c r="E16" s="43">
        <f t="shared" si="0"/>
        <v>9.7820750555654673E-2</v>
      </c>
      <c r="G16" t="s">
        <v>21</v>
      </c>
      <c r="H16">
        <f>param!B2*param!B5*param!B60*(1-param!C60)/1000+10.57*B2*(B5)/1000+((('[1]module corrigé'!D71+'[1]module corrigé'!I72+'[1]module corrigé'!N91)*1000*0.546*(1-0.102)+param!D55*param!B55*0.452*(1-0.101)+param!D56*param!B56*0.306*(1-0.101))/1000)*(param!B5/(param!B4+param!B5))</f>
        <v>11540.238633493078</v>
      </c>
      <c r="L16" s="52"/>
    </row>
    <row r="17" spans="1:12">
      <c r="A17" t="s">
        <v>22</v>
      </c>
      <c r="B17" s="41">
        <v>5.5428512246900232E-3</v>
      </c>
      <c r="D17" s="22">
        <v>3.5</v>
      </c>
      <c r="E17" s="43">
        <f t="shared" si="0"/>
        <v>1.6899368312081761E-2</v>
      </c>
      <c r="G17" t="s">
        <v>23</v>
      </c>
      <c r="H17">
        <f>J17*B2*B5/1000</f>
        <v>110642.15977989236</v>
      </c>
      <c r="I17" t="s">
        <v>24</v>
      </c>
      <c r="J17">
        <v>682.25991422800496</v>
      </c>
      <c r="L17" s="52"/>
    </row>
    <row r="18" spans="1:12">
      <c r="A18" t="s">
        <v>25</v>
      </c>
      <c r="B18" s="41">
        <v>1.6298116134309949E-3</v>
      </c>
      <c r="D18" s="22">
        <v>1.96</v>
      </c>
      <c r="E18" s="43">
        <f t="shared" si="0"/>
        <v>2.782676270060376E-3</v>
      </c>
      <c r="G18" t="s">
        <v>16</v>
      </c>
      <c r="H18">
        <f>0.3675+1.47*E42</f>
        <v>0.36749999999999999</v>
      </c>
      <c r="L18" s="25"/>
    </row>
    <row r="19" spans="1:12">
      <c r="A19" t="s">
        <v>26</v>
      </c>
      <c r="B19" s="41">
        <v>9.3146960026867221E-4</v>
      </c>
      <c r="D19" s="22">
        <v>6</v>
      </c>
      <c r="E19" s="43">
        <f t="shared" si="0"/>
        <v>4.8684323670811569E-3</v>
      </c>
      <c r="G19" t="s">
        <v>18</v>
      </c>
      <c r="H19">
        <v>14689.809627249375</v>
      </c>
      <c r="I19">
        <f>H18*H19^2+((1-H18)*H17+H16)*H19-H16*H17</f>
        <v>0</v>
      </c>
      <c r="L19" s="25"/>
    </row>
    <row r="20" spans="1:12">
      <c r="A20" t="s">
        <v>27</v>
      </c>
      <c r="B20" s="41">
        <v>7.8056111754358019E-5</v>
      </c>
      <c r="D20" s="22">
        <v>3.5</v>
      </c>
      <c r="E20" s="43">
        <f t="shared" si="0"/>
        <v>2.3798202911709572E-4</v>
      </c>
      <c r="L20" s="25"/>
    </row>
    <row r="21" spans="1:12">
      <c r="A21" t="s">
        <v>28</v>
      </c>
      <c r="B21" s="41">
        <v>3.5739580798638921E-4</v>
      </c>
      <c r="D21" s="22">
        <v>3.5</v>
      </c>
      <c r="E21" s="43">
        <f t="shared" si="0"/>
        <v>1.0896491981333687E-3</v>
      </c>
      <c r="L21" s="25"/>
    </row>
    <row r="22" spans="1:12">
      <c r="A22" t="s">
        <v>29</v>
      </c>
      <c r="B22" s="41">
        <v>3.5292926381377869E-4</v>
      </c>
      <c r="D22" s="22">
        <v>3.6</v>
      </c>
      <c r="E22" s="43">
        <f t="shared" si="0"/>
        <v>1.1067750900805727E-3</v>
      </c>
      <c r="L22" s="25"/>
    </row>
    <row r="23" spans="1:12">
      <c r="A23" t="s">
        <v>30</v>
      </c>
      <c r="B23" s="41">
        <v>1.6782064027186971E-4</v>
      </c>
      <c r="D23" s="22">
        <v>3.6</v>
      </c>
      <c r="E23" s="43">
        <f t="shared" si="0"/>
        <v>5.2628025867609157E-4</v>
      </c>
      <c r="L23" s="25"/>
    </row>
    <row r="24" spans="1:12">
      <c r="A24" t="s">
        <v>31</v>
      </c>
      <c r="B24" s="41">
        <v>0</v>
      </c>
      <c r="D24" s="22">
        <v>0.20799999999999999</v>
      </c>
      <c r="E24" s="43">
        <f t="shared" si="0"/>
        <v>0</v>
      </c>
      <c r="L24" s="25"/>
    </row>
    <row r="25" spans="1:12">
      <c r="A25" t="s">
        <v>32</v>
      </c>
      <c r="B25" s="41">
        <v>3.236582219058945E-3</v>
      </c>
      <c r="D25" s="22">
        <v>0.25600000000000001</v>
      </c>
      <c r="E25" s="43">
        <f t="shared" si="0"/>
        <v>7.2176499321375013E-4</v>
      </c>
      <c r="L25" s="25"/>
    </row>
    <row r="26" spans="1:12">
      <c r="A26" t="s">
        <v>33</v>
      </c>
      <c r="B26" s="41">
        <v>0</v>
      </c>
      <c r="D26" s="22">
        <v>0.23</v>
      </c>
      <c r="E26" s="43">
        <f t="shared" si="0"/>
        <v>0</v>
      </c>
      <c r="L26" s="25"/>
    </row>
    <row r="27" spans="1:12">
      <c r="A27" t="s">
        <v>34</v>
      </c>
      <c r="B27" s="41">
        <v>0</v>
      </c>
      <c r="D27" s="22">
        <v>0.5</v>
      </c>
      <c r="E27" s="43">
        <f t="shared" si="0"/>
        <v>0</v>
      </c>
      <c r="L27" s="25"/>
    </row>
    <row r="28" spans="1:12">
      <c r="A28" t="s">
        <v>35</v>
      </c>
      <c r="B28" s="41">
        <v>0</v>
      </c>
      <c r="D28" s="22">
        <v>1.5</v>
      </c>
      <c r="E28" s="43">
        <f t="shared" si="0"/>
        <v>0</v>
      </c>
      <c r="L28" s="25"/>
    </row>
    <row r="29" spans="1:12">
      <c r="A29" t="s">
        <v>36</v>
      </c>
      <c r="B29" s="41">
        <v>0</v>
      </c>
      <c r="D29" s="22">
        <v>0.5</v>
      </c>
      <c r="E29" s="43">
        <f t="shared" si="0"/>
        <v>0</v>
      </c>
      <c r="L29" s="25"/>
    </row>
    <row r="30" spans="1:12">
      <c r="A30" t="s">
        <v>37</v>
      </c>
      <c r="B30" s="41">
        <v>7.6668447545391648E-6</v>
      </c>
      <c r="D30" s="22">
        <v>3.6</v>
      </c>
      <c r="E30" s="43">
        <f t="shared" si="0"/>
        <v>2.4042984427372869E-5</v>
      </c>
      <c r="L30" s="25"/>
    </row>
    <row r="31" spans="1:12">
      <c r="A31" t="s">
        <v>38</v>
      </c>
      <c r="B31" s="41">
        <v>1.7006753604064319E-2</v>
      </c>
      <c r="D31" s="22">
        <v>2</v>
      </c>
      <c r="E31" s="43">
        <f t="shared" si="0"/>
        <v>2.9629247403285871E-2</v>
      </c>
      <c r="L31" s="25"/>
    </row>
    <row r="32" spans="1:12">
      <c r="A32" t="s">
        <v>39</v>
      </c>
      <c r="B32" s="41">
        <v>0</v>
      </c>
      <c r="D32" s="22">
        <v>0.18</v>
      </c>
      <c r="E32" s="43">
        <f t="shared" si="0"/>
        <v>0</v>
      </c>
      <c r="L32" s="25"/>
    </row>
    <row r="33" spans="1:12">
      <c r="A33" t="s">
        <v>40</v>
      </c>
      <c r="B33" s="41">
        <v>0</v>
      </c>
      <c r="D33" s="22">
        <v>0.36</v>
      </c>
      <c r="E33" s="43">
        <f t="shared" si="0"/>
        <v>0</v>
      </c>
      <c r="L33" s="25"/>
    </row>
    <row r="34" spans="1:12">
      <c r="A34" t="s">
        <v>41</v>
      </c>
      <c r="B34" s="41">
        <v>0</v>
      </c>
      <c r="D34" s="22">
        <v>0.22</v>
      </c>
      <c r="E34" s="43">
        <f t="shared" si="0"/>
        <v>0</v>
      </c>
      <c r="L34" s="52"/>
    </row>
    <row r="35" spans="1:12">
      <c r="A35" t="s">
        <v>42</v>
      </c>
      <c r="B35" s="41">
        <v>5.4709962373694833E-2</v>
      </c>
      <c r="D35" s="22">
        <v>0.1</v>
      </c>
      <c r="E35" s="43">
        <f t="shared" si="0"/>
        <v>4.765797895158754E-3</v>
      </c>
      <c r="L35" s="25"/>
    </row>
    <row r="36" spans="1:12">
      <c r="A36" t="s">
        <v>43</v>
      </c>
      <c r="B36" s="41">
        <v>0</v>
      </c>
      <c r="D36" s="22">
        <v>0.67</v>
      </c>
      <c r="E36" s="43">
        <f t="shared" si="0"/>
        <v>0</v>
      </c>
      <c r="L36" s="25"/>
    </row>
    <row r="37" spans="1:12">
      <c r="A37" t="s">
        <v>44</v>
      </c>
      <c r="B37" s="41">
        <v>0</v>
      </c>
      <c r="D37" s="22">
        <v>0.18</v>
      </c>
      <c r="E37" s="43">
        <f t="shared" si="0"/>
        <v>0</v>
      </c>
      <c r="L37" s="25"/>
    </row>
    <row r="38" spans="1:12">
      <c r="A38" t="s">
        <v>45</v>
      </c>
      <c r="B38" s="41">
        <v>1.4960754752918619E-4</v>
      </c>
      <c r="D38" s="22">
        <v>0.35</v>
      </c>
      <c r="E38" s="43">
        <f t="shared" si="0"/>
        <v>4.5613222247443341E-5</v>
      </c>
      <c r="L38" s="25"/>
    </row>
    <row r="39" spans="1:12">
      <c r="A39" t="s">
        <v>46</v>
      </c>
      <c r="B39" s="41">
        <v>0</v>
      </c>
      <c r="D39" s="22">
        <v>0.35</v>
      </c>
      <c r="E39" s="43">
        <f t="shared" si="0"/>
        <v>0</v>
      </c>
      <c r="L39" s="25"/>
    </row>
    <row r="40" spans="1:12">
      <c r="A40" t="s">
        <v>47</v>
      </c>
      <c r="B40" s="41">
        <v>0.34836876321035282</v>
      </c>
      <c r="D40" s="22">
        <v>1</v>
      </c>
      <c r="E40" s="43">
        <f t="shared" si="0"/>
        <v>0.3034648620495537</v>
      </c>
      <c r="L40" s="25"/>
    </row>
    <row r="41" spans="1:12">
      <c r="A41" t="s">
        <v>48</v>
      </c>
      <c r="B41" s="41">
        <v>0</v>
      </c>
      <c r="D41" s="22">
        <v>0.36</v>
      </c>
      <c r="E41" s="43">
        <f t="shared" si="0"/>
        <v>0</v>
      </c>
      <c r="L41" s="25"/>
    </row>
    <row r="42" spans="1:12">
      <c r="A42" t="s">
        <v>49</v>
      </c>
      <c r="B42" s="41">
        <v>0</v>
      </c>
      <c r="D42" s="22">
        <v>2.8</v>
      </c>
      <c r="E42" s="43">
        <f>B42*D42/D$45</f>
        <v>0</v>
      </c>
    </row>
    <row r="43" spans="1:12">
      <c r="A43" t="s">
        <v>50</v>
      </c>
      <c r="B43" s="42">
        <v>0</v>
      </c>
      <c r="D43" s="22">
        <v>1.25</v>
      </c>
      <c r="E43" s="43">
        <f>D43*B43/D45</f>
        <v>0</v>
      </c>
    </row>
    <row r="44" spans="1:12">
      <c r="A44" t="s">
        <v>52</v>
      </c>
      <c r="B44" s="45" t="s">
        <v>51</v>
      </c>
      <c r="D44" s="22">
        <v>2.0499999999999998</v>
      </c>
      <c r="E44" s="43" t="s">
        <v>51</v>
      </c>
    </row>
    <row r="45" spans="1:12">
      <c r="D45">
        <f>SUMPRODUCT(D8:D43,B8:B43)</f>
        <v>1.147970677255763</v>
      </c>
      <c r="E45" s="46"/>
    </row>
    <row r="46" spans="1:12">
      <c r="A46" t="s">
        <v>53</v>
      </c>
      <c r="B46">
        <v>0.24099999999999999</v>
      </c>
    </row>
    <row r="47" spans="1:12">
      <c r="A47" t="s">
        <v>54</v>
      </c>
      <c r="B47" s="47">
        <v>0.497</v>
      </c>
      <c r="C47" s="54"/>
    </row>
    <row r="49" spans="1:7">
      <c r="A49" t="s">
        <v>55</v>
      </c>
      <c r="B49">
        <v>6.6</v>
      </c>
    </row>
    <row r="50" spans="1:7">
      <c r="A50" t="s">
        <v>56</v>
      </c>
      <c r="B50" s="47">
        <f>2.3/6.6</f>
        <v>0.34848484848484845</v>
      </c>
    </row>
    <row r="51" spans="1:7">
      <c r="A51" t="s">
        <v>57</v>
      </c>
      <c r="B51" s="47">
        <f>3.7/6.6</f>
        <v>0.56060606060606066</v>
      </c>
    </row>
    <row r="52" spans="1:7">
      <c r="A52" t="s">
        <v>58</v>
      </c>
      <c r="B52" s="48"/>
    </row>
    <row r="54" spans="1:7">
      <c r="A54" t="s">
        <v>59</v>
      </c>
      <c r="D54" t="s">
        <v>60</v>
      </c>
      <c r="E54" t="s">
        <v>61</v>
      </c>
      <c r="F54" t="s">
        <v>62</v>
      </c>
    </row>
    <row r="55" spans="1:7">
      <c r="A55" t="s">
        <v>63</v>
      </c>
      <c r="B55">
        <v>59600</v>
      </c>
      <c r="D55" s="22">
        <v>11.687706662736495</v>
      </c>
      <c r="E55" s="22">
        <v>15.86703807723033</v>
      </c>
      <c r="F55" s="58">
        <v>88.252366136519612</v>
      </c>
      <c r="G55" s="23"/>
    </row>
    <row r="56" spans="1:7">
      <c r="A56" t="s">
        <v>64</v>
      </c>
      <c r="B56">
        <v>4100</v>
      </c>
      <c r="D56" s="22">
        <v>12.762195992805427</v>
      </c>
      <c r="E56" s="22">
        <v>8.2818520456575566</v>
      </c>
      <c r="F56" s="58">
        <v>88.252366136519612</v>
      </c>
      <c r="G56" s="24"/>
    </row>
    <row r="57" spans="1:7">
      <c r="A57" t="s">
        <v>65</v>
      </c>
      <c r="B57">
        <v>46700</v>
      </c>
      <c r="D57" s="22">
        <v>8.5339568427968331</v>
      </c>
      <c r="E57" s="22">
        <v>155.42452203628119</v>
      </c>
      <c r="F57" s="58"/>
      <c r="G57" s="23"/>
    </row>
    <row r="58" spans="1:7">
      <c r="A58" t="s">
        <v>66</v>
      </c>
      <c r="B58">
        <f>650000+440000</f>
        <v>1090000</v>
      </c>
      <c r="D58" s="22">
        <v>0.48111567430737168</v>
      </c>
      <c r="E58" s="22">
        <f>(440000*4.5+600000*2.2)/B58</f>
        <v>3.0275229357798166</v>
      </c>
      <c r="F58" s="58">
        <v>0</v>
      </c>
      <c r="G58" s="24"/>
    </row>
    <row r="59" spans="1:7">
      <c r="C59" t="s">
        <v>67</v>
      </c>
    </row>
    <row r="60" spans="1:7">
      <c r="A60" t="s">
        <v>68</v>
      </c>
      <c r="B60" s="55">
        <v>15.702338150165231</v>
      </c>
      <c r="C60" s="59">
        <v>2.8000000000000001E-2</v>
      </c>
    </row>
    <row r="61" spans="1:7">
      <c r="A61" t="s">
        <v>69</v>
      </c>
      <c r="B61" s="55">
        <v>25.679762684868379</v>
      </c>
      <c r="C61" s="59">
        <v>2.8000000000000001E-2</v>
      </c>
    </row>
    <row r="62" spans="1:7">
      <c r="D62" s="19"/>
    </row>
    <row r="63" spans="1:7">
      <c r="A63" s="35" t="s">
        <v>70</v>
      </c>
      <c r="B63" s="33"/>
      <c r="D63" s="19"/>
    </row>
    <row r="64" spans="1:7">
      <c r="A64" s="36" t="s">
        <v>71</v>
      </c>
      <c r="B64" s="37">
        <v>138728</v>
      </c>
      <c r="D64" s="19"/>
    </row>
    <row r="65" spans="1:4">
      <c r="A65" s="36" t="s">
        <v>72</v>
      </c>
      <c r="B65" s="49">
        <v>0.40109436414779337</v>
      </c>
      <c r="D65" s="19"/>
    </row>
    <row r="66" spans="1:4">
      <c r="A66" s="36" t="s">
        <v>73</v>
      </c>
      <c r="B66" s="49">
        <v>0.4417010397783781</v>
      </c>
      <c r="D66" s="19"/>
    </row>
    <row r="67" spans="1:4">
      <c r="A67" s="34" t="s">
        <v>74</v>
      </c>
      <c r="B67" s="50">
        <v>0.1572045960738285</v>
      </c>
    </row>
    <row r="68" spans="1:4">
      <c r="B68" s="51"/>
      <c r="D68" s="19"/>
    </row>
    <row r="69" spans="1:4">
      <c r="D69" s="19"/>
    </row>
    <row r="70" spans="1:4">
      <c r="D70" s="19"/>
    </row>
    <row r="71" spans="1:4">
      <c r="D71" s="19"/>
    </row>
    <row r="72" spans="1:4">
      <c r="D72" s="19"/>
    </row>
    <row r="73" spans="1:4">
      <c r="D73" s="19"/>
    </row>
    <row r="74" spans="1:4">
      <c r="D74" s="19"/>
    </row>
    <row r="75" spans="1:4">
      <c r="D75" s="19"/>
    </row>
    <row r="76" spans="1:4">
      <c r="D76" s="19"/>
    </row>
    <row r="77" spans="1:4">
      <c r="D77" s="19"/>
    </row>
    <row r="78" spans="1:4">
      <c r="D78" s="19"/>
    </row>
    <row r="91" spans="7:7">
      <c r="G91" t="s">
        <v>160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1"/>
  <dimension ref="A1:H74"/>
  <sheetViews>
    <sheetView workbookViewId="0">
      <selection activeCell="C48" sqref="C48"/>
    </sheetView>
  </sheetViews>
  <sheetFormatPr baseColWidth="10" defaultRowHeight="16"/>
  <cols>
    <col min="1" max="1" width="10.83203125" style="40" customWidth="1"/>
    <col min="2" max="2" width="46" style="40" customWidth="1"/>
    <col min="3" max="21" width="10.83203125" style="40" customWidth="1"/>
    <col min="22" max="16384" width="10.83203125" style="40"/>
  </cols>
  <sheetData>
    <row r="1" spans="1:8">
      <c r="A1" s="40" t="s">
        <v>89</v>
      </c>
      <c r="B1" s="40" t="s">
        <v>90</v>
      </c>
      <c r="C1" s="40" t="s">
        <v>91</v>
      </c>
      <c r="D1" s="40" t="s">
        <v>92</v>
      </c>
      <c r="E1" s="40" t="s">
        <v>93</v>
      </c>
      <c r="F1" s="40" t="s">
        <v>94</v>
      </c>
      <c r="G1" s="40" t="s">
        <v>95</v>
      </c>
      <c r="H1" s="40" t="s">
        <v>96</v>
      </c>
    </row>
    <row r="2" spans="1:8" ht="21" customHeight="1">
      <c r="A2" s="2">
        <v>1</v>
      </c>
      <c r="B2" s="2" t="s">
        <v>97</v>
      </c>
      <c r="C2" s="40">
        <v>1</v>
      </c>
    </row>
    <row r="3" spans="1:8" ht="19" customHeight="1">
      <c r="A3" s="3">
        <v>2</v>
      </c>
      <c r="B3" s="3" t="s">
        <v>98</v>
      </c>
      <c r="C3" s="40">
        <v>1</v>
      </c>
    </row>
    <row r="4" spans="1:8" ht="19" customHeight="1">
      <c r="A4" s="3">
        <v>2</v>
      </c>
      <c r="B4" s="3" t="s">
        <v>99</v>
      </c>
      <c r="C4" s="40">
        <v>1</v>
      </c>
    </row>
    <row r="5" spans="1:8" ht="19" customHeight="1">
      <c r="A5" s="3">
        <v>2</v>
      </c>
      <c r="B5" s="3" t="s">
        <v>100</v>
      </c>
      <c r="C5" s="40">
        <v>1</v>
      </c>
    </row>
    <row r="6" spans="1:8" ht="19" customHeight="1">
      <c r="A6" s="3">
        <v>2</v>
      </c>
      <c r="B6" s="3" t="s">
        <v>101</v>
      </c>
      <c r="C6" s="40">
        <v>1</v>
      </c>
    </row>
    <row r="7" spans="1:8" ht="19" customHeight="1">
      <c r="A7" s="3">
        <v>2</v>
      </c>
      <c r="B7" s="3" t="s">
        <v>102</v>
      </c>
      <c r="C7" s="40">
        <v>1</v>
      </c>
    </row>
    <row r="8" spans="1:8">
      <c r="A8" s="40">
        <v>3</v>
      </c>
      <c r="B8" s="40" t="s">
        <v>103</v>
      </c>
      <c r="C8" s="40">
        <v>1</v>
      </c>
    </row>
    <row r="9" spans="1:8">
      <c r="A9" s="40">
        <v>3</v>
      </c>
      <c r="B9" s="40" t="s">
        <v>104</v>
      </c>
      <c r="C9" s="40">
        <v>1</v>
      </c>
    </row>
    <row r="10" spans="1:8">
      <c r="A10" s="40">
        <v>3</v>
      </c>
      <c r="B10" s="40" t="s">
        <v>105</v>
      </c>
      <c r="C10" s="40">
        <v>1</v>
      </c>
    </row>
    <row r="11" spans="1:8" ht="21" customHeight="1">
      <c r="A11" s="3">
        <v>2</v>
      </c>
      <c r="B11" s="3" t="s">
        <v>124</v>
      </c>
      <c r="C11" s="3">
        <v>1</v>
      </c>
      <c r="D11" s="3"/>
    </row>
    <row r="12" spans="1:8" ht="21" customHeight="1">
      <c r="A12" s="2">
        <v>1</v>
      </c>
      <c r="B12" s="2" t="s">
        <v>106</v>
      </c>
      <c r="C12" s="40">
        <v>1</v>
      </c>
    </row>
    <row r="13" spans="1:8" ht="19" customHeight="1">
      <c r="A13" s="3">
        <v>2</v>
      </c>
      <c r="B13" s="3" t="s">
        <v>107</v>
      </c>
      <c r="C13" s="40">
        <v>1</v>
      </c>
    </row>
    <row r="14" spans="1:8">
      <c r="A14" s="40">
        <v>3</v>
      </c>
      <c r="B14" s="40" t="s">
        <v>78</v>
      </c>
      <c r="C14" s="40">
        <v>1</v>
      </c>
    </row>
    <row r="15" spans="1:8" ht="17" customHeight="1">
      <c r="A15" s="9">
        <v>4</v>
      </c>
      <c r="B15" s="11" t="s">
        <v>7</v>
      </c>
      <c r="C15" s="40">
        <v>1</v>
      </c>
    </row>
    <row r="16" spans="1:8" ht="17" customHeight="1">
      <c r="A16" s="9">
        <v>4</v>
      </c>
      <c r="B16" s="11" t="s">
        <v>8</v>
      </c>
      <c r="C16" s="40">
        <v>1</v>
      </c>
    </row>
    <row r="17" spans="1:3" ht="17" customHeight="1">
      <c r="A17" s="9">
        <v>4</v>
      </c>
      <c r="B17" s="11" t="s">
        <v>9</v>
      </c>
      <c r="C17" s="40">
        <v>1</v>
      </c>
    </row>
    <row r="18" spans="1:3" ht="17" customHeight="1">
      <c r="A18" s="9">
        <v>4</v>
      </c>
      <c r="B18" s="11" t="s">
        <v>10</v>
      </c>
      <c r="C18" s="40">
        <v>1</v>
      </c>
    </row>
    <row r="19" spans="1:3" ht="17" customHeight="1">
      <c r="A19" s="9">
        <v>4</v>
      </c>
      <c r="B19" s="11" t="s">
        <v>12</v>
      </c>
      <c r="C19" s="40">
        <v>1</v>
      </c>
    </row>
    <row r="20" spans="1:3" ht="17" customHeight="1">
      <c r="A20" s="9">
        <v>4</v>
      </c>
      <c r="B20" s="11" t="s">
        <v>15</v>
      </c>
      <c r="C20" s="40">
        <v>1</v>
      </c>
    </row>
    <row r="21" spans="1:3" ht="17" customHeight="1">
      <c r="A21" s="9">
        <v>4</v>
      </c>
      <c r="B21" s="11" t="s">
        <v>17</v>
      </c>
      <c r="C21" s="40">
        <v>1</v>
      </c>
    </row>
    <row r="22" spans="1:3" ht="17" customHeight="1">
      <c r="A22" s="9">
        <v>4</v>
      </c>
      <c r="B22" s="11" t="s">
        <v>19</v>
      </c>
      <c r="C22" s="40">
        <v>1</v>
      </c>
    </row>
    <row r="23" spans="1:3" ht="17" customHeight="1">
      <c r="A23" s="40">
        <v>3</v>
      </c>
      <c r="B23" s="1" t="s">
        <v>108</v>
      </c>
      <c r="C23" s="40">
        <v>1</v>
      </c>
    </row>
    <row r="24" spans="1:3" ht="17" customHeight="1">
      <c r="A24" s="9">
        <v>4</v>
      </c>
      <c r="B24" s="11" t="s">
        <v>22</v>
      </c>
      <c r="C24" s="40">
        <v>1</v>
      </c>
    </row>
    <row r="25" spans="1:3" ht="17" customHeight="1">
      <c r="A25" s="9">
        <v>4</v>
      </c>
      <c r="B25" s="11" t="s">
        <v>25</v>
      </c>
      <c r="C25" s="40">
        <v>1</v>
      </c>
    </row>
    <row r="26" spans="1:3" ht="17" customHeight="1">
      <c r="A26" s="9">
        <v>4</v>
      </c>
      <c r="B26" s="11" t="s">
        <v>26</v>
      </c>
      <c r="C26" s="40">
        <v>1</v>
      </c>
    </row>
    <row r="27" spans="1:3" ht="17" customHeight="1">
      <c r="A27" s="9">
        <v>4</v>
      </c>
      <c r="B27" s="11" t="s">
        <v>27</v>
      </c>
      <c r="C27" s="40">
        <v>1</v>
      </c>
    </row>
    <row r="28" spans="1:3" ht="17" customHeight="1">
      <c r="A28" s="40">
        <v>3</v>
      </c>
      <c r="B28" s="1" t="s">
        <v>109</v>
      </c>
      <c r="C28" s="40">
        <v>1</v>
      </c>
    </row>
    <row r="29" spans="1:3" ht="17" customHeight="1">
      <c r="A29" s="9">
        <v>4</v>
      </c>
      <c r="B29" s="11" t="s">
        <v>28</v>
      </c>
      <c r="C29" s="40">
        <v>1</v>
      </c>
    </row>
    <row r="30" spans="1:3" ht="17" customHeight="1">
      <c r="A30" s="9">
        <v>4</v>
      </c>
      <c r="B30" s="11" t="s">
        <v>29</v>
      </c>
      <c r="C30" s="40">
        <v>1</v>
      </c>
    </row>
    <row r="31" spans="1:3" ht="17" customHeight="1">
      <c r="A31" s="9">
        <v>4</v>
      </c>
      <c r="B31" s="11" t="s">
        <v>110</v>
      </c>
      <c r="C31" s="40">
        <v>1</v>
      </c>
    </row>
    <row r="32" spans="1:3" ht="17" customHeight="1">
      <c r="A32" s="9">
        <v>4</v>
      </c>
      <c r="B32" s="11" t="s">
        <v>35</v>
      </c>
      <c r="C32" s="40">
        <v>1</v>
      </c>
    </row>
    <row r="33" spans="1:3" ht="17" customHeight="1">
      <c r="A33" s="9">
        <v>4</v>
      </c>
      <c r="B33" s="11" t="s">
        <v>36</v>
      </c>
      <c r="C33" s="40">
        <v>1</v>
      </c>
    </row>
    <row r="34" spans="1:3" ht="17" customHeight="1">
      <c r="A34" s="9">
        <v>4</v>
      </c>
      <c r="B34" s="11" t="s">
        <v>37</v>
      </c>
      <c r="C34" s="40">
        <v>1</v>
      </c>
    </row>
    <row r="35" spans="1:3" ht="17" customHeight="1">
      <c r="A35" s="9">
        <v>4</v>
      </c>
      <c r="B35" s="11" t="s">
        <v>30</v>
      </c>
      <c r="C35" s="40">
        <v>1</v>
      </c>
    </row>
    <row r="36" spans="1:3" ht="17" customHeight="1">
      <c r="A36" s="40">
        <v>3</v>
      </c>
      <c r="B36" s="1" t="s">
        <v>111</v>
      </c>
      <c r="C36" s="40">
        <v>1</v>
      </c>
    </row>
    <row r="37" spans="1:3" ht="17" customHeight="1">
      <c r="A37" s="9">
        <v>4</v>
      </c>
      <c r="B37" s="11" t="s">
        <v>112</v>
      </c>
      <c r="C37" s="40">
        <v>1</v>
      </c>
    </row>
    <row r="38" spans="1:3" ht="17" customHeight="1">
      <c r="A38" s="9">
        <v>4</v>
      </c>
      <c r="B38" s="11" t="s">
        <v>32</v>
      </c>
      <c r="C38" s="40">
        <v>1</v>
      </c>
    </row>
    <row r="39" spans="1:3" ht="17" customHeight="1">
      <c r="A39" s="9">
        <v>4</v>
      </c>
      <c r="B39" s="11" t="s">
        <v>33</v>
      </c>
      <c r="C39" s="40">
        <v>1</v>
      </c>
    </row>
    <row r="40" spans="1:3" ht="17" customHeight="1">
      <c r="A40" s="40">
        <v>3</v>
      </c>
      <c r="B40" s="1" t="s">
        <v>113</v>
      </c>
      <c r="C40" s="40">
        <v>1</v>
      </c>
    </row>
    <row r="41" spans="1:3" ht="17" customHeight="1">
      <c r="A41" s="9">
        <v>4</v>
      </c>
      <c r="B41" s="11" t="s">
        <v>114</v>
      </c>
      <c r="C41" s="40">
        <v>1</v>
      </c>
    </row>
    <row r="42" spans="1:3" ht="17" customHeight="1">
      <c r="A42" s="9">
        <v>4</v>
      </c>
      <c r="B42" s="11" t="s">
        <v>48</v>
      </c>
      <c r="C42" s="40">
        <v>1</v>
      </c>
    </row>
    <row r="43" spans="1:3" ht="17" customHeight="1">
      <c r="A43" s="9">
        <v>4</v>
      </c>
      <c r="B43" s="11" t="s">
        <v>115</v>
      </c>
      <c r="C43" s="40">
        <v>1</v>
      </c>
    </row>
    <row r="44" spans="1:3" ht="17" customHeight="1">
      <c r="A44" s="9">
        <v>4</v>
      </c>
      <c r="B44" s="11" t="s">
        <v>20</v>
      </c>
      <c r="C44" s="40">
        <v>1</v>
      </c>
    </row>
    <row r="45" spans="1:3" ht="17" customHeight="1">
      <c r="A45" s="40">
        <v>3</v>
      </c>
      <c r="B45" s="1" t="s">
        <v>116</v>
      </c>
      <c r="C45" s="40">
        <v>1</v>
      </c>
    </row>
    <row r="46" spans="1:3" ht="17" customHeight="1">
      <c r="A46" s="9">
        <v>4</v>
      </c>
      <c r="B46" s="11" t="s">
        <v>38</v>
      </c>
      <c r="C46" s="40">
        <v>1</v>
      </c>
    </row>
    <row r="47" spans="1:3" ht="17" customHeight="1">
      <c r="A47" s="9">
        <v>4</v>
      </c>
      <c r="B47" s="11" t="s">
        <v>39</v>
      </c>
      <c r="C47" s="40">
        <v>1</v>
      </c>
    </row>
    <row r="48" spans="1:3" ht="17" customHeight="1">
      <c r="A48" s="9">
        <v>4</v>
      </c>
      <c r="B48" s="11" t="s">
        <v>40</v>
      </c>
      <c r="C48" s="40">
        <v>1</v>
      </c>
    </row>
    <row r="49" spans="1:3" ht="17" customHeight="1">
      <c r="A49" s="9">
        <v>4</v>
      </c>
      <c r="B49" s="11" t="s">
        <v>41</v>
      </c>
      <c r="C49" s="40">
        <v>1</v>
      </c>
    </row>
    <row r="50" spans="1:3" ht="17" customHeight="1">
      <c r="A50" s="9">
        <v>4</v>
      </c>
      <c r="B50" s="11" t="s">
        <v>42</v>
      </c>
      <c r="C50" s="40">
        <v>1</v>
      </c>
    </row>
    <row r="51" spans="1:3" ht="17" customHeight="1">
      <c r="A51" s="9">
        <v>4</v>
      </c>
      <c r="B51" s="11" t="s">
        <v>43</v>
      </c>
      <c r="C51" s="40">
        <v>1</v>
      </c>
    </row>
    <row r="52" spans="1:3" ht="17" customHeight="1">
      <c r="A52" s="9">
        <v>4</v>
      </c>
      <c r="B52" s="11" t="s">
        <v>44</v>
      </c>
      <c r="C52" s="40">
        <v>1</v>
      </c>
    </row>
    <row r="53" spans="1:3" ht="17" customHeight="1">
      <c r="A53" s="40">
        <v>3</v>
      </c>
      <c r="B53" s="10" t="s">
        <v>117</v>
      </c>
      <c r="C53" s="40">
        <v>1</v>
      </c>
    </row>
    <row r="54" spans="1:3" ht="17" customHeight="1">
      <c r="A54" s="9">
        <v>4</v>
      </c>
      <c r="B54" s="11" t="s">
        <v>46</v>
      </c>
      <c r="C54" s="40">
        <v>1</v>
      </c>
    </row>
    <row r="55" spans="1:3" ht="17" customHeight="1">
      <c r="A55" s="9">
        <v>4</v>
      </c>
      <c r="B55" s="11" t="s">
        <v>45</v>
      </c>
      <c r="C55" s="40">
        <v>1</v>
      </c>
    </row>
    <row r="56" spans="1:3" ht="17" customHeight="1">
      <c r="A56" s="3">
        <v>2</v>
      </c>
      <c r="B56" s="4" t="s">
        <v>118</v>
      </c>
      <c r="C56" s="40">
        <v>1</v>
      </c>
    </row>
    <row r="57" spans="1:3" ht="17" customHeight="1">
      <c r="A57" s="40">
        <v>3</v>
      </c>
      <c r="B57" s="1" t="s">
        <v>76</v>
      </c>
      <c r="C57" s="40">
        <v>1</v>
      </c>
    </row>
    <row r="58" spans="1:3" ht="20" customHeight="1">
      <c r="A58" s="40">
        <v>3</v>
      </c>
      <c r="B58" s="1" t="s">
        <v>77</v>
      </c>
      <c r="C58" s="40">
        <v>1</v>
      </c>
    </row>
    <row r="59" spans="1:3" ht="20" customHeight="1">
      <c r="A59" s="40">
        <v>3</v>
      </c>
      <c r="B59" s="1" t="s">
        <v>75</v>
      </c>
      <c r="C59" s="40">
        <v>1</v>
      </c>
    </row>
    <row r="60" spans="1:3" ht="20" customHeight="1">
      <c r="A60" s="3">
        <v>2</v>
      </c>
      <c r="B60" s="4" t="s">
        <v>119</v>
      </c>
      <c r="C60" s="40">
        <v>1</v>
      </c>
    </row>
    <row r="61" spans="1:3" ht="21" customHeight="1">
      <c r="A61" s="2">
        <v>1</v>
      </c>
      <c r="B61" s="2" t="s">
        <v>120</v>
      </c>
    </row>
    <row r="62" spans="1:3" ht="21" customHeight="1">
      <c r="A62" s="3">
        <v>2</v>
      </c>
      <c r="B62" s="3" t="s">
        <v>121</v>
      </c>
      <c r="C62" s="61">
        <v>1</v>
      </c>
    </row>
    <row r="63" spans="1:3" ht="19" customHeight="1">
      <c r="A63" s="40">
        <v>3</v>
      </c>
      <c r="B63" s="40" t="s">
        <v>80</v>
      </c>
      <c r="C63" s="40">
        <v>1</v>
      </c>
    </row>
    <row r="64" spans="1:3" ht="19" customHeight="1">
      <c r="A64" s="40">
        <v>3</v>
      </c>
      <c r="B64" s="40" t="s">
        <v>81</v>
      </c>
      <c r="C64" s="40">
        <v>1</v>
      </c>
    </row>
    <row r="65" spans="1:3" ht="19" customHeight="1">
      <c r="A65" s="40">
        <v>3</v>
      </c>
      <c r="B65" s="40" t="s">
        <v>82</v>
      </c>
      <c r="C65" s="40">
        <v>1</v>
      </c>
    </row>
    <row r="66" spans="1:3" ht="19" customHeight="1">
      <c r="A66" s="40">
        <v>3</v>
      </c>
      <c r="B66" s="40" t="s">
        <v>79</v>
      </c>
      <c r="C66" s="40">
        <v>1</v>
      </c>
    </row>
    <row r="67" spans="1:3" ht="19" customHeight="1">
      <c r="A67" s="40">
        <v>3</v>
      </c>
      <c r="B67" s="40" t="s">
        <v>122</v>
      </c>
      <c r="C67" s="40">
        <v>1</v>
      </c>
    </row>
    <row r="68" spans="1:3" ht="19" customHeight="1">
      <c r="A68" s="3">
        <v>2</v>
      </c>
      <c r="B68" s="3" t="s">
        <v>123</v>
      </c>
    </row>
    <row r="69" spans="1:3" ht="19" customHeight="1">
      <c r="A69" s="40">
        <v>3</v>
      </c>
      <c r="B69" s="40" t="s">
        <v>83</v>
      </c>
    </row>
    <row r="70" spans="1:3" ht="19" customHeight="1">
      <c r="A70" s="40">
        <v>3</v>
      </c>
      <c r="B70" s="40" t="s">
        <v>84</v>
      </c>
    </row>
    <row r="71" spans="1:3" ht="19" customHeight="1">
      <c r="A71" s="40">
        <v>3</v>
      </c>
      <c r="B71" s="40" t="s">
        <v>85</v>
      </c>
    </row>
    <row r="72" spans="1:3" ht="19" customHeight="1">
      <c r="A72" s="40">
        <v>3</v>
      </c>
      <c r="B72" s="40" t="s">
        <v>86</v>
      </c>
    </row>
    <row r="73" spans="1:3" ht="19" customHeight="1">
      <c r="A73" s="40">
        <v>3</v>
      </c>
      <c r="B73" s="40" t="s">
        <v>87</v>
      </c>
    </row>
    <row r="74" spans="1:3" ht="19" customHeight="1">
      <c r="A74" s="40">
        <v>3</v>
      </c>
      <c r="B74" s="40" t="s">
        <v>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2"/>
  <dimension ref="A1:H33"/>
  <sheetViews>
    <sheetView workbookViewId="0">
      <selection activeCell="B27" sqref="B27"/>
    </sheetView>
  </sheetViews>
  <sheetFormatPr baseColWidth="10" defaultRowHeight="16"/>
  <cols>
    <col min="1" max="1" width="10.83203125" style="40" customWidth="1"/>
    <col min="2" max="2" width="46" style="40" customWidth="1"/>
    <col min="3" max="3" width="10.83203125" style="40" customWidth="1"/>
    <col min="4" max="4" width="25.5" style="40" bestFit="1" customWidth="1"/>
    <col min="5" max="14" width="10.83203125" style="40" customWidth="1"/>
    <col min="15" max="16384" width="10.83203125" style="40"/>
  </cols>
  <sheetData>
    <row r="1" spans="1:8">
      <c r="A1" s="40" t="s">
        <v>89</v>
      </c>
      <c r="B1" s="40" t="s">
        <v>125</v>
      </c>
      <c r="C1" s="40" t="s">
        <v>91</v>
      </c>
      <c r="D1" s="40" t="s">
        <v>92</v>
      </c>
      <c r="E1" s="40" t="s">
        <v>126</v>
      </c>
      <c r="F1" s="40" t="s">
        <v>94</v>
      </c>
      <c r="G1" s="40" t="s">
        <v>95</v>
      </c>
      <c r="H1" s="40" t="s">
        <v>96</v>
      </c>
    </row>
    <row r="2" spans="1:8" ht="21" customHeight="1">
      <c r="A2" s="2">
        <v>1</v>
      </c>
      <c r="B2" s="2" t="s">
        <v>127</v>
      </c>
      <c r="C2" s="40">
        <v>1</v>
      </c>
    </row>
    <row r="3" spans="1:8" ht="21" customHeight="1">
      <c r="A3" s="2">
        <v>1</v>
      </c>
      <c r="B3" s="2" t="s">
        <v>128</v>
      </c>
      <c r="C3" s="40">
        <v>1</v>
      </c>
    </row>
    <row r="4" spans="1:8" ht="21" customHeight="1">
      <c r="A4" s="2">
        <v>1</v>
      </c>
      <c r="B4" s="2" t="s">
        <v>129</v>
      </c>
      <c r="C4" s="40">
        <v>1</v>
      </c>
    </row>
    <row r="5" spans="1:8" s="7" customFormat="1" ht="21" customHeight="1">
      <c r="A5" s="2">
        <v>1</v>
      </c>
      <c r="B5" s="2" t="s">
        <v>130</v>
      </c>
      <c r="C5" s="7">
        <v>1</v>
      </c>
    </row>
    <row r="6" spans="1:8" s="7" customFormat="1" ht="19" customHeight="1">
      <c r="A6" s="3">
        <v>2</v>
      </c>
      <c r="B6" s="3" t="s">
        <v>70</v>
      </c>
      <c r="C6" s="7">
        <v>1</v>
      </c>
    </row>
    <row r="7" spans="1:8" s="7" customFormat="1" ht="19" customHeight="1">
      <c r="A7" s="40">
        <v>3</v>
      </c>
      <c r="B7" s="40" t="s">
        <v>131</v>
      </c>
      <c r="C7" s="40">
        <v>1</v>
      </c>
    </row>
    <row r="8" spans="1:8" s="7" customFormat="1" ht="19" customHeight="1">
      <c r="A8" s="40">
        <v>3</v>
      </c>
      <c r="B8" s="40" t="s">
        <v>132</v>
      </c>
      <c r="C8" s="40">
        <v>1</v>
      </c>
    </row>
    <row r="9" spans="1:8" s="7" customFormat="1" ht="19" customHeight="1">
      <c r="A9" s="40">
        <v>3</v>
      </c>
      <c r="B9" s="40" t="s">
        <v>133</v>
      </c>
      <c r="C9" s="40">
        <v>1</v>
      </c>
    </row>
    <row r="10" spans="1:8" s="7" customFormat="1" ht="19" customHeight="1">
      <c r="A10" s="3">
        <v>2</v>
      </c>
      <c r="B10" s="3" t="s">
        <v>134</v>
      </c>
      <c r="C10" s="7">
        <v>1</v>
      </c>
    </row>
    <row r="11" spans="1:8" ht="19" customHeight="1">
      <c r="A11" s="3">
        <v>2</v>
      </c>
      <c r="B11" s="3" t="s">
        <v>135</v>
      </c>
      <c r="C11" s="40">
        <v>1</v>
      </c>
      <c r="G11" s="7"/>
      <c r="H11" s="7"/>
    </row>
    <row r="12" spans="1:8" ht="19" customHeight="1">
      <c r="A12" s="3">
        <v>2</v>
      </c>
      <c r="B12" s="3" t="s">
        <v>136</v>
      </c>
      <c r="C12" s="40">
        <v>1</v>
      </c>
      <c r="G12" s="7"/>
      <c r="H12" s="7"/>
    </row>
    <row r="13" spans="1:8" ht="19" customHeight="1">
      <c r="A13" s="3">
        <v>2</v>
      </c>
      <c r="B13" s="3" t="s">
        <v>66</v>
      </c>
      <c r="C13" s="40">
        <v>1</v>
      </c>
      <c r="G13" s="7"/>
      <c r="H13" s="7"/>
    </row>
    <row r="14" spans="1:8" ht="19" customHeight="1">
      <c r="A14" s="2">
        <v>1</v>
      </c>
      <c r="B14" s="2" t="s">
        <v>137</v>
      </c>
      <c r="G14" s="7"/>
      <c r="H14" s="7"/>
    </row>
    <row r="15" spans="1:8" ht="19" customHeight="1">
      <c r="A15" s="2">
        <v>1</v>
      </c>
      <c r="B15" s="2" t="s">
        <v>138</v>
      </c>
      <c r="G15" s="7"/>
      <c r="H15" s="7"/>
    </row>
    <row r="16" spans="1:8" ht="21" customHeight="1">
      <c r="A16" s="2">
        <v>1</v>
      </c>
      <c r="B16" s="2" t="s">
        <v>159</v>
      </c>
      <c r="G16" s="7"/>
      <c r="H16" s="7"/>
    </row>
    <row r="17" spans="1:8" ht="21" customHeight="1">
      <c r="A17" s="2">
        <v>1</v>
      </c>
      <c r="B17" s="2" t="s">
        <v>139</v>
      </c>
      <c r="G17" s="7"/>
      <c r="H17" s="7"/>
    </row>
    <row r="18" spans="1:8" ht="21" customHeight="1">
      <c r="A18" s="2">
        <v>1</v>
      </c>
      <c r="B18" s="2" t="s">
        <v>140</v>
      </c>
    </row>
    <row r="33" ht="19" customHeight="1"/>
  </sheetData>
  <conditionalFormatting sqref="B18">
    <cfRule type="cellIs" dxfId="14" priority="1" stopIfTrue="1" operator="equal">
      <formula>"NULL"</formula>
    </cfRule>
  </conditionalFormatting>
  <conditionalFormatting sqref="B19:B49 B11:B17">
    <cfRule type="cellIs" dxfId="13" priority="2" stopIfTrue="1" operator="equal">
      <formula>"NULL"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52"/>
  <sheetViews>
    <sheetView tabSelected="1" topLeftCell="A59" zoomScale="74" workbookViewId="0">
      <selection activeCell="D88" sqref="D88"/>
    </sheetView>
  </sheetViews>
  <sheetFormatPr baseColWidth="10" defaultColWidth="8.83203125" defaultRowHeight="16"/>
  <cols>
    <col min="1" max="1" width="23.1640625" style="53" bestFit="1" customWidth="1"/>
    <col min="2" max="2" width="40.83203125" style="18" bestFit="1" customWidth="1"/>
    <col min="8" max="10" width="8.83203125" style="53" customWidth="1"/>
    <col min="19" max="19" width="8.83203125" style="53"/>
  </cols>
  <sheetData>
    <row r="1" spans="1:19">
      <c r="C1" s="26"/>
      <c r="D1" s="26"/>
      <c r="E1" s="26"/>
      <c r="F1" s="27"/>
      <c r="G1" s="38"/>
      <c r="H1" s="38"/>
      <c r="I1" s="38"/>
      <c r="J1" s="38"/>
      <c r="K1" s="38"/>
      <c r="L1" s="38"/>
      <c r="M1" s="38"/>
      <c r="N1" s="38"/>
      <c r="O1" s="27"/>
      <c r="P1" s="27"/>
      <c r="S1" s="27"/>
    </row>
    <row r="2" spans="1:19">
      <c r="C2" s="29" t="s">
        <v>127</v>
      </c>
      <c r="D2" s="29" t="s">
        <v>128</v>
      </c>
      <c r="E2" s="29" t="s">
        <v>129</v>
      </c>
      <c r="F2" s="29" t="s">
        <v>130</v>
      </c>
      <c r="G2" s="29" t="s">
        <v>70</v>
      </c>
      <c r="H2" s="29" t="s">
        <v>131</v>
      </c>
      <c r="I2" s="29" t="s">
        <v>132</v>
      </c>
      <c r="J2" s="29" t="s">
        <v>133</v>
      </c>
      <c r="K2" s="29" t="s">
        <v>134</v>
      </c>
      <c r="L2" s="29" t="s">
        <v>135</v>
      </c>
      <c r="M2" s="29" t="s">
        <v>136</v>
      </c>
      <c r="N2" s="29" t="s">
        <v>66</v>
      </c>
      <c r="O2" s="29" t="s">
        <v>137</v>
      </c>
      <c r="P2" s="29" t="s">
        <v>138</v>
      </c>
      <c r="Q2" s="29" t="s">
        <v>139</v>
      </c>
      <c r="R2" s="29" t="s">
        <v>140</v>
      </c>
      <c r="S2" s="29" t="s">
        <v>159</v>
      </c>
    </row>
    <row r="3" spans="1:19">
      <c r="A3" s="27"/>
      <c r="B3" s="29" t="s">
        <v>97</v>
      </c>
      <c r="C3" s="8">
        <v>1</v>
      </c>
      <c r="D3" s="52"/>
      <c r="E3" s="52"/>
      <c r="F3" s="8">
        <v>1</v>
      </c>
      <c r="G3" s="8">
        <v>1</v>
      </c>
      <c r="H3" s="8">
        <v>1</v>
      </c>
      <c r="I3" s="8">
        <v>1</v>
      </c>
      <c r="J3" s="8">
        <v>1</v>
      </c>
      <c r="K3" s="8">
        <v>1</v>
      </c>
      <c r="L3" s="8">
        <v>1</v>
      </c>
      <c r="M3" s="8">
        <v>1</v>
      </c>
      <c r="N3" s="8">
        <v>1</v>
      </c>
      <c r="O3" s="8">
        <v>1</v>
      </c>
      <c r="P3" s="8">
        <v>1</v>
      </c>
      <c r="Q3" s="52"/>
      <c r="R3" s="52"/>
      <c r="S3" s="52"/>
    </row>
    <row r="4" spans="1:19">
      <c r="A4" s="27"/>
      <c r="B4" s="29" t="s">
        <v>98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8">
        <v>1</v>
      </c>
      <c r="Q4" s="52"/>
      <c r="R4" s="52"/>
      <c r="S4" s="52"/>
    </row>
    <row r="5" spans="1:19" ht="19" customHeight="1">
      <c r="A5" s="27"/>
      <c r="B5" s="29" t="s">
        <v>99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8">
        <v>1</v>
      </c>
      <c r="P5" s="52"/>
      <c r="Q5" s="52"/>
      <c r="R5" s="52"/>
      <c r="S5" s="52"/>
    </row>
    <row r="6" spans="1:19" ht="19" customHeight="1">
      <c r="A6" s="27"/>
      <c r="B6" s="29" t="s">
        <v>100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8">
        <v>1</v>
      </c>
      <c r="P6" s="52"/>
      <c r="Q6" s="52"/>
      <c r="R6" s="52"/>
      <c r="S6" s="52"/>
    </row>
    <row r="7" spans="1:19">
      <c r="A7" s="27"/>
      <c r="B7" s="29" t="s">
        <v>101</v>
      </c>
      <c r="C7" s="8">
        <v>1</v>
      </c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</row>
    <row r="8" spans="1:19">
      <c r="A8" s="26"/>
      <c r="B8" s="29" t="s">
        <v>102</v>
      </c>
      <c r="C8" s="52"/>
      <c r="D8" s="52"/>
      <c r="E8" s="52"/>
      <c r="F8" s="8">
        <v>1</v>
      </c>
      <c r="G8" s="8">
        <v>1</v>
      </c>
      <c r="H8" s="8">
        <v>1</v>
      </c>
      <c r="I8" s="8">
        <v>1</v>
      </c>
      <c r="J8" s="8">
        <v>1</v>
      </c>
      <c r="K8" s="8">
        <v>1</v>
      </c>
      <c r="L8" s="8">
        <v>1</v>
      </c>
      <c r="M8" s="8">
        <v>1</v>
      </c>
      <c r="N8" s="8">
        <v>1</v>
      </c>
      <c r="O8" s="52"/>
      <c r="P8" s="52"/>
      <c r="Q8" s="52"/>
      <c r="R8" s="52"/>
      <c r="S8" s="52"/>
    </row>
    <row r="9" spans="1:19">
      <c r="A9" s="38"/>
      <c r="B9" s="29" t="s">
        <v>103</v>
      </c>
      <c r="C9" s="52"/>
      <c r="D9" s="52"/>
      <c r="E9" s="52"/>
      <c r="F9" s="8">
        <v>1</v>
      </c>
      <c r="G9" s="8">
        <v>1</v>
      </c>
      <c r="H9" s="8">
        <v>1</v>
      </c>
      <c r="I9" s="8">
        <v>1</v>
      </c>
      <c r="J9" s="8">
        <v>1</v>
      </c>
      <c r="K9" s="8">
        <v>1</v>
      </c>
      <c r="L9" s="8">
        <v>1</v>
      </c>
      <c r="M9" s="8">
        <v>1</v>
      </c>
      <c r="N9" s="8">
        <v>1</v>
      </c>
      <c r="O9" s="52"/>
      <c r="P9" s="52"/>
      <c r="Q9" s="52"/>
      <c r="R9" s="52"/>
      <c r="S9" s="52"/>
    </row>
    <row r="10" spans="1:19">
      <c r="A10" s="38"/>
      <c r="B10" s="29" t="s">
        <v>104</v>
      </c>
      <c r="C10" s="52"/>
      <c r="D10" s="52"/>
      <c r="E10" s="52"/>
      <c r="F10" s="8">
        <v>1</v>
      </c>
      <c r="G10" s="8">
        <v>1</v>
      </c>
      <c r="H10" s="8">
        <v>1</v>
      </c>
      <c r="I10" s="8">
        <v>1</v>
      </c>
      <c r="J10" s="8">
        <v>1</v>
      </c>
      <c r="K10" s="52"/>
      <c r="L10" s="52"/>
      <c r="M10" s="8">
        <v>1</v>
      </c>
      <c r="N10" s="8">
        <v>1</v>
      </c>
      <c r="O10" s="52"/>
      <c r="P10" s="52"/>
      <c r="Q10" s="52"/>
      <c r="R10" s="52"/>
      <c r="S10" s="52"/>
    </row>
    <row r="11" spans="1:19">
      <c r="A11" s="38"/>
      <c r="B11" s="29" t="s">
        <v>105</v>
      </c>
      <c r="C11" s="52"/>
      <c r="D11" s="52"/>
      <c r="E11" s="52"/>
      <c r="F11" s="8">
        <v>1</v>
      </c>
      <c r="G11" s="8">
        <v>1</v>
      </c>
      <c r="H11" s="8">
        <v>1</v>
      </c>
      <c r="I11" s="8">
        <v>1</v>
      </c>
      <c r="J11" s="8">
        <v>1</v>
      </c>
      <c r="K11" s="8">
        <v>1</v>
      </c>
      <c r="L11" s="8">
        <v>1</v>
      </c>
      <c r="M11" s="52"/>
      <c r="N11" s="52"/>
      <c r="O11" s="52"/>
      <c r="P11" s="52"/>
      <c r="Q11" s="52"/>
      <c r="R11" s="52"/>
      <c r="S11" s="52"/>
    </row>
    <row r="12" spans="1:19" s="53" customFormat="1">
      <c r="B12" s="31" t="s">
        <v>124</v>
      </c>
    </row>
    <row r="13" spans="1:19">
      <c r="A13" s="27"/>
      <c r="B13" s="29" t="s">
        <v>106</v>
      </c>
      <c r="C13" s="52"/>
      <c r="D13" s="8">
        <v>1</v>
      </c>
      <c r="E13" s="8">
        <v>1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8">
        <v>1</v>
      </c>
      <c r="R13" s="52"/>
      <c r="S13" s="52"/>
    </row>
    <row r="14" spans="1:19">
      <c r="A14" s="27"/>
      <c r="B14" s="29" t="s">
        <v>107</v>
      </c>
      <c r="C14" s="52"/>
      <c r="D14" s="8">
        <v>1</v>
      </c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8">
        <v>1</v>
      </c>
      <c r="R14" s="52"/>
      <c r="S14" s="52"/>
    </row>
    <row r="15" spans="1:19">
      <c r="A15" s="27"/>
      <c r="B15" s="29" t="s">
        <v>78</v>
      </c>
      <c r="C15" s="52"/>
      <c r="D15" s="8">
        <v>1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8">
        <v>1</v>
      </c>
      <c r="R15" s="52"/>
      <c r="S15" s="52"/>
    </row>
    <row r="16" spans="1:19">
      <c r="A16" s="52"/>
      <c r="B16" s="29" t="s">
        <v>7</v>
      </c>
      <c r="C16" s="52"/>
      <c r="D16" s="8">
        <v>1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28">
        <v>1</v>
      </c>
      <c r="R16" s="52"/>
      <c r="S16" s="52"/>
    </row>
    <row r="17" spans="1:19">
      <c r="A17" s="52"/>
      <c r="B17" s="29" t="s">
        <v>8</v>
      </c>
      <c r="C17" s="52"/>
      <c r="D17" s="8">
        <v>1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8">
        <v>1</v>
      </c>
      <c r="R17" s="52"/>
      <c r="S17" s="52"/>
    </row>
    <row r="18" spans="1:19">
      <c r="A18" s="52"/>
      <c r="B18" s="29" t="s">
        <v>9</v>
      </c>
      <c r="C18" s="52"/>
      <c r="D18" s="8">
        <v>1</v>
      </c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8">
        <v>1</v>
      </c>
      <c r="R18" s="52"/>
      <c r="S18" s="52"/>
    </row>
    <row r="19" spans="1:19">
      <c r="A19" s="52"/>
      <c r="B19" s="29" t="s">
        <v>10</v>
      </c>
      <c r="C19" s="52"/>
      <c r="D19" s="8">
        <v>1</v>
      </c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8">
        <v>1</v>
      </c>
      <c r="R19" s="52"/>
      <c r="S19" s="52"/>
    </row>
    <row r="20" spans="1:19">
      <c r="A20" s="52"/>
      <c r="B20" s="29" t="s">
        <v>12</v>
      </c>
      <c r="C20" s="52"/>
      <c r="D20" s="8">
        <v>1</v>
      </c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8">
        <v>1</v>
      </c>
      <c r="R20" s="52"/>
      <c r="S20" s="52"/>
    </row>
    <row r="21" spans="1:19">
      <c r="A21" s="52"/>
      <c r="B21" s="29" t="s">
        <v>15</v>
      </c>
      <c r="C21" s="52"/>
      <c r="D21" s="8">
        <v>1</v>
      </c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8">
        <v>1</v>
      </c>
      <c r="R21" s="52"/>
      <c r="S21" s="52"/>
    </row>
    <row r="22" spans="1:19">
      <c r="A22" s="52"/>
      <c r="B22" s="29" t="s">
        <v>17</v>
      </c>
      <c r="C22" s="52"/>
      <c r="D22" s="8">
        <v>1</v>
      </c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8">
        <v>1</v>
      </c>
      <c r="R22" s="52"/>
      <c r="S22" s="52"/>
    </row>
    <row r="23" spans="1:19">
      <c r="A23" s="52"/>
      <c r="B23" s="29" t="s">
        <v>19</v>
      </c>
      <c r="C23" s="52"/>
      <c r="D23" s="8">
        <v>1</v>
      </c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8">
        <v>1</v>
      </c>
      <c r="R23" s="52"/>
      <c r="S23" s="52"/>
    </row>
    <row r="24" spans="1:19">
      <c r="A24" s="27"/>
      <c r="B24" s="29" t="s">
        <v>108</v>
      </c>
      <c r="C24" s="52"/>
      <c r="D24" s="8">
        <v>1</v>
      </c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8">
        <v>1</v>
      </c>
      <c r="R24" s="52"/>
      <c r="S24" s="52"/>
    </row>
    <row r="25" spans="1:19">
      <c r="A25" s="52"/>
      <c r="B25" s="29" t="s">
        <v>22</v>
      </c>
      <c r="C25" s="52"/>
      <c r="D25" s="8">
        <v>1</v>
      </c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8">
        <v>1</v>
      </c>
      <c r="R25" s="52"/>
      <c r="S25" s="52"/>
    </row>
    <row r="26" spans="1:19">
      <c r="A26" s="25"/>
      <c r="B26" s="29" t="s">
        <v>25</v>
      </c>
      <c r="C26" s="52"/>
      <c r="D26" s="8">
        <v>1</v>
      </c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8">
        <v>1</v>
      </c>
      <c r="R26" s="52"/>
      <c r="S26" s="52"/>
    </row>
    <row r="27" spans="1:19">
      <c r="A27" s="25"/>
      <c r="B27" s="29" t="s">
        <v>26</v>
      </c>
      <c r="C27" s="52"/>
      <c r="D27" s="8"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8">
        <v>1</v>
      </c>
      <c r="R27" s="52"/>
      <c r="S27" s="52"/>
    </row>
    <row r="28" spans="1:19">
      <c r="A28" s="25"/>
      <c r="B28" s="29" t="s">
        <v>27</v>
      </c>
      <c r="C28" s="52"/>
      <c r="D28" s="8">
        <v>1</v>
      </c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8">
        <v>1</v>
      </c>
      <c r="R28" s="52"/>
      <c r="S28" s="52"/>
    </row>
    <row r="29" spans="1:19" ht="17" customHeight="1">
      <c r="A29" s="5"/>
      <c r="B29" s="29" t="s">
        <v>109</v>
      </c>
      <c r="C29" s="52"/>
      <c r="D29" s="8">
        <v>1</v>
      </c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8">
        <v>1</v>
      </c>
      <c r="R29" s="52"/>
      <c r="S29" s="52"/>
    </row>
    <row r="30" spans="1:19">
      <c r="A30" s="25"/>
      <c r="B30" s="29" t="s">
        <v>28</v>
      </c>
      <c r="C30" s="52"/>
      <c r="D30" s="8">
        <v>1</v>
      </c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8">
        <v>1</v>
      </c>
      <c r="R30" s="52"/>
      <c r="S30" s="52"/>
    </row>
    <row r="31" spans="1:19">
      <c r="A31" s="25"/>
      <c r="B31" s="29" t="s">
        <v>29</v>
      </c>
      <c r="C31" s="52"/>
      <c r="D31" s="8">
        <v>1</v>
      </c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8">
        <v>1</v>
      </c>
      <c r="R31" s="52"/>
      <c r="S31" s="52"/>
    </row>
    <row r="32" spans="1:19">
      <c r="A32" s="25"/>
      <c r="B32" s="29" t="s">
        <v>110</v>
      </c>
      <c r="C32" s="52"/>
      <c r="D32" s="8">
        <v>1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8">
        <v>1</v>
      </c>
      <c r="R32" s="52"/>
      <c r="S32" s="52"/>
    </row>
    <row r="33" spans="1:19">
      <c r="A33" s="25"/>
      <c r="B33" s="29" t="s">
        <v>35</v>
      </c>
      <c r="C33" s="52"/>
      <c r="D33" s="8">
        <v>1</v>
      </c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8">
        <v>1</v>
      </c>
      <c r="R33" s="52"/>
      <c r="S33" s="52"/>
    </row>
    <row r="34" spans="1:19">
      <c r="A34" s="25"/>
      <c r="B34" s="29" t="s">
        <v>36</v>
      </c>
      <c r="C34" s="52"/>
      <c r="D34" s="8">
        <v>1</v>
      </c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8">
        <v>1</v>
      </c>
      <c r="R34" s="52"/>
      <c r="S34" s="52"/>
    </row>
    <row r="35" spans="1:19">
      <c r="A35" s="25"/>
      <c r="B35" s="29" t="s">
        <v>37</v>
      </c>
      <c r="C35" s="52"/>
      <c r="D35" s="8">
        <v>1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8">
        <v>1</v>
      </c>
      <c r="R35" s="52"/>
      <c r="S35" s="52"/>
    </row>
    <row r="36" spans="1:19">
      <c r="A36" s="25"/>
      <c r="B36" s="29" t="s">
        <v>30</v>
      </c>
      <c r="C36" s="52"/>
      <c r="D36" s="8">
        <v>1</v>
      </c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8">
        <v>1</v>
      </c>
      <c r="R36" s="52"/>
      <c r="S36" s="52"/>
    </row>
    <row r="37" spans="1:19">
      <c r="A37" s="5"/>
      <c r="B37" s="29" t="s">
        <v>111</v>
      </c>
      <c r="C37" s="52"/>
      <c r="D37" s="8">
        <v>1</v>
      </c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8">
        <v>1</v>
      </c>
      <c r="R37" s="52"/>
      <c r="S37" s="52"/>
    </row>
    <row r="38" spans="1:19">
      <c r="A38" s="25"/>
      <c r="B38" s="29" t="s">
        <v>112</v>
      </c>
      <c r="C38" s="52"/>
      <c r="D38" s="8">
        <v>1</v>
      </c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8">
        <v>1</v>
      </c>
      <c r="R38" s="52"/>
      <c r="S38" s="52"/>
    </row>
    <row r="39" spans="1:19">
      <c r="A39" s="25"/>
      <c r="B39" s="29" t="s">
        <v>32</v>
      </c>
      <c r="C39" s="52"/>
      <c r="D39" s="8">
        <v>1</v>
      </c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8">
        <v>1</v>
      </c>
      <c r="R39" s="52"/>
      <c r="S39" s="52"/>
    </row>
    <row r="40" spans="1:19">
      <c r="A40" s="25"/>
      <c r="B40" s="29" t="s">
        <v>33</v>
      </c>
      <c r="C40" s="52"/>
      <c r="D40" s="8">
        <v>1</v>
      </c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8">
        <v>1</v>
      </c>
      <c r="R40" s="52"/>
      <c r="S40" s="52"/>
    </row>
    <row r="41" spans="1:19">
      <c r="A41" s="5"/>
      <c r="B41" s="29" t="s">
        <v>113</v>
      </c>
      <c r="C41" s="52"/>
      <c r="D41" s="8">
        <v>1</v>
      </c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8">
        <v>1</v>
      </c>
      <c r="R41" s="52"/>
      <c r="S41" s="52"/>
    </row>
    <row r="42" spans="1:19">
      <c r="A42" s="25"/>
      <c r="B42" s="29" t="s">
        <v>114</v>
      </c>
      <c r="C42" s="52"/>
      <c r="D42" s="8">
        <v>1</v>
      </c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8">
        <v>1</v>
      </c>
      <c r="R42" s="52"/>
      <c r="S42" s="52"/>
    </row>
    <row r="43" spans="1:19">
      <c r="A43" s="25"/>
      <c r="B43" s="29" t="s">
        <v>48</v>
      </c>
      <c r="C43" s="52"/>
      <c r="D43" s="8">
        <v>1</v>
      </c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8">
        <v>1</v>
      </c>
      <c r="R43" s="52"/>
      <c r="S43" s="52"/>
    </row>
    <row r="44" spans="1:19">
      <c r="A44" s="25"/>
      <c r="B44" s="29" t="s">
        <v>115</v>
      </c>
      <c r="C44" s="52"/>
      <c r="D44" s="8">
        <v>1</v>
      </c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8">
        <v>1</v>
      </c>
      <c r="R44" s="52"/>
      <c r="S44" s="52"/>
    </row>
    <row r="45" spans="1:19">
      <c r="A45" s="25"/>
      <c r="B45" s="29" t="s">
        <v>20</v>
      </c>
      <c r="C45" s="52"/>
      <c r="D45" s="8">
        <v>1</v>
      </c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8">
        <v>1</v>
      </c>
      <c r="R45" s="52"/>
      <c r="S45" s="52"/>
    </row>
    <row r="46" spans="1:19">
      <c r="A46" s="5"/>
      <c r="B46" s="29" t="s">
        <v>116</v>
      </c>
      <c r="C46" s="52"/>
      <c r="D46" s="8">
        <v>1</v>
      </c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8">
        <v>1</v>
      </c>
      <c r="R46" s="52"/>
      <c r="S46" s="52"/>
    </row>
    <row r="47" spans="1:19">
      <c r="A47" s="25"/>
      <c r="B47" s="29" t="s">
        <v>38</v>
      </c>
      <c r="C47" s="52"/>
      <c r="D47" s="8">
        <v>1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8">
        <v>1</v>
      </c>
      <c r="R47" s="52"/>
      <c r="S47" s="52"/>
    </row>
    <row r="48" spans="1:19">
      <c r="A48" s="25"/>
      <c r="B48" s="29" t="s">
        <v>39</v>
      </c>
      <c r="C48" s="52"/>
      <c r="D48" s="8">
        <v>1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8">
        <v>1</v>
      </c>
      <c r="R48" s="52"/>
      <c r="S48" s="52"/>
    </row>
    <row r="49" spans="1:19">
      <c r="A49" s="25"/>
      <c r="B49" s="29" t="s">
        <v>40</v>
      </c>
      <c r="C49" s="52"/>
      <c r="D49" s="8">
        <v>1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8">
        <v>1</v>
      </c>
      <c r="R49" s="52"/>
      <c r="S49" s="52"/>
    </row>
    <row r="50" spans="1:19">
      <c r="A50" s="25"/>
      <c r="B50" s="29" t="s">
        <v>41</v>
      </c>
      <c r="C50" s="52"/>
      <c r="D50" s="8">
        <v>1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8">
        <v>1</v>
      </c>
      <c r="R50" s="52"/>
      <c r="S50" s="52"/>
    </row>
    <row r="51" spans="1:19">
      <c r="A51" s="25"/>
      <c r="B51" s="29" t="s">
        <v>42</v>
      </c>
      <c r="C51" s="52"/>
      <c r="D51" s="8">
        <v>1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8">
        <v>1</v>
      </c>
      <c r="R51" s="52"/>
      <c r="S51" s="52"/>
    </row>
    <row r="52" spans="1:19">
      <c r="A52" s="25"/>
      <c r="B52" s="29" t="s">
        <v>43</v>
      </c>
      <c r="C52" s="52"/>
      <c r="D52" s="8">
        <v>1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8">
        <v>1</v>
      </c>
      <c r="R52" s="52"/>
      <c r="S52" s="52"/>
    </row>
    <row r="53" spans="1:19">
      <c r="A53" s="25"/>
      <c r="B53" s="29" t="s">
        <v>44</v>
      </c>
      <c r="C53" s="52"/>
      <c r="D53" s="8">
        <v>1</v>
      </c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8">
        <v>1</v>
      </c>
      <c r="R53" s="52"/>
      <c r="S53" s="52"/>
    </row>
    <row r="54" spans="1:19">
      <c r="A54" s="5"/>
      <c r="B54" s="29" t="s">
        <v>117</v>
      </c>
      <c r="C54" s="52"/>
      <c r="D54" s="8">
        <v>1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8">
        <v>1</v>
      </c>
      <c r="R54" s="52"/>
      <c r="S54" s="52"/>
    </row>
    <row r="55" spans="1:19">
      <c r="A55" s="25"/>
      <c r="B55" s="29" t="s">
        <v>46</v>
      </c>
      <c r="C55" s="52"/>
      <c r="D55" s="8">
        <v>1</v>
      </c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8">
        <v>1</v>
      </c>
      <c r="R55" s="52"/>
      <c r="S55" s="52"/>
    </row>
    <row r="56" spans="1:19">
      <c r="A56" s="25"/>
      <c r="B56" s="29" t="s">
        <v>45</v>
      </c>
      <c r="C56" s="52"/>
      <c r="D56" s="8">
        <v>1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8">
        <v>1</v>
      </c>
      <c r="R56" s="52"/>
      <c r="S56" s="52"/>
    </row>
    <row r="57" spans="1:19">
      <c r="A57" s="25"/>
      <c r="B57" s="29" t="s">
        <v>118</v>
      </c>
      <c r="C57" s="52"/>
      <c r="D57" s="52"/>
      <c r="E57" s="8">
        <v>1</v>
      </c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8"/>
      <c r="R57" s="52"/>
      <c r="S57" s="52"/>
    </row>
    <row r="58" spans="1:19">
      <c r="A58" s="5"/>
      <c r="B58" s="29" t="s">
        <v>76</v>
      </c>
      <c r="C58" s="52"/>
      <c r="D58" s="52"/>
      <c r="E58" s="8">
        <v>1</v>
      </c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8">
        <v>1</v>
      </c>
      <c r="R58" s="52"/>
      <c r="S58" s="52"/>
    </row>
    <row r="59" spans="1:19">
      <c r="A59" s="5"/>
      <c r="B59" s="32" t="s">
        <v>77</v>
      </c>
      <c r="C59" s="52"/>
      <c r="D59" s="52"/>
      <c r="E59" s="8">
        <v>1</v>
      </c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8">
        <v>1</v>
      </c>
      <c r="R59" s="52"/>
      <c r="S59" s="52"/>
    </row>
    <row r="60" spans="1:19">
      <c r="A60" s="5"/>
      <c r="B60" s="29" t="s">
        <v>75</v>
      </c>
      <c r="C60" s="52"/>
      <c r="D60" s="52"/>
      <c r="E60" s="8">
        <v>1</v>
      </c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</row>
    <row r="61" spans="1:19">
      <c r="A61" s="5"/>
      <c r="B61" s="29" t="s">
        <v>119</v>
      </c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8">
        <v>1</v>
      </c>
      <c r="R61" s="52"/>
      <c r="S61" s="52"/>
    </row>
    <row r="62" spans="1:19">
      <c r="A62" s="26"/>
      <c r="B62" s="29" t="s">
        <v>120</v>
      </c>
      <c r="C62" s="52"/>
      <c r="D62" s="52"/>
      <c r="E62" s="52"/>
      <c r="F62" s="8">
        <v>1</v>
      </c>
      <c r="G62" s="8">
        <v>1</v>
      </c>
      <c r="H62" s="8">
        <v>1</v>
      </c>
      <c r="I62" s="8">
        <v>1</v>
      </c>
      <c r="J62" s="8">
        <v>1</v>
      </c>
      <c r="K62" s="8">
        <v>1</v>
      </c>
      <c r="L62" s="8">
        <v>1</v>
      </c>
      <c r="M62" s="8">
        <v>1</v>
      </c>
      <c r="N62" s="8">
        <v>1</v>
      </c>
      <c r="O62" s="52"/>
      <c r="P62" s="52"/>
      <c r="Q62" s="8">
        <v>1</v>
      </c>
      <c r="R62" s="52"/>
      <c r="S62" s="52"/>
    </row>
    <row r="63" spans="1:19">
      <c r="A63" s="26"/>
      <c r="B63" s="29" t="s">
        <v>121</v>
      </c>
      <c r="C63" s="52"/>
      <c r="D63" s="52"/>
      <c r="E63" s="52"/>
      <c r="F63" s="8">
        <v>1</v>
      </c>
      <c r="G63" s="8">
        <v>1</v>
      </c>
      <c r="H63" s="8">
        <v>1</v>
      </c>
      <c r="I63" s="8">
        <v>1</v>
      </c>
      <c r="J63" s="8">
        <v>1</v>
      </c>
      <c r="K63" s="8">
        <v>1</v>
      </c>
      <c r="L63" s="8">
        <v>1</v>
      </c>
      <c r="M63" s="8">
        <v>1</v>
      </c>
      <c r="N63" s="8">
        <v>1</v>
      </c>
      <c r="O63" s="52"/>
      <c r="P63" s="52"/>
      <c r="Q63" s="8">
        <v>1</v>
      </c>
      <c r="R63" s="52"/>
      <c r="S63" s="52"/>
    </row>
    <row r="64" spans="1:19">
      <c r="A64" s="26"/>
      <c r="B64" s="29" t="s">
        <v>80</v>
      </c>
      <c r="C64" s="52"/>
      <c r="D64" s="52"/>
      <c r="E64" s="52"/>
      <c r="F64" s="8">
        <v>1</v>
      </c>
      <c r="G64" s="8">
        <v>1</v>
      </c>
      <c r="H64" s="8">
        <v>1</v>
      </c>
      <c r="I64" s="8">
        <v>1</v>
      </c>
      <c r="J64" s="8">
        <v>1</v>
      </c>
      <c r="K64" s="8">
        <v>1</v>
      </c>
      <c r="L64" s="8">
        <v>1</v>
      </c>
      <c r="M64" s="8">
        <v>1</v>
      </c>
      <c r="N64" s="8">
        <v>1</v>
      </c>
      <c r="O64" s="52"/>
      <c r="P64" s="52"/>
      <c r="Q64" s="8">
        <v>1</v>
      </c>
      <c r="R64" s="52"/>
      <c r="S64" s="52"/>
    </row>
    <row r="65" spans="1:19">
      <c r="A65" s="26"/>
      <c r="B65" s="29" t="s">
        <v>81</v>
      </c>
      <c r="C65" s="52"/>
      <c r="D65" s="52"/>
      <c r="E65" s="52"/>
      <c r="F65" s="8">
        <v>1</v>
      </c>
      <c r="G65" s="8">
        <v>1</v>
      </c>
      <c r="H65" s="8">
        <v>1</v>
      </c>
      <c r="I65" s="8">
        <v>1</v>
      </c>
      <c r="J65" s="8">
        <v>1</v>
      </c>
      <c r="K65" s="8">
        <v>1</v>
      </c>
      <c r="L65" s="8">
        <v>1</v>
      </c>
      <c r="M65" s="8">
        <v>1</v>
      </c>
      <c r="N65" s="8">
        <v>1</v>
      </c>
      <c r="O65" s="52"/>
      <c r="P65" s="52"/>
      <c r="Q65" s="8">
        <v>1</v>
      </c>
      <c r="R65" s="52"/>
      <c r="S65" s="52"/>
    </row>
    <row r="66" spans="1:19">
      <c r="A66" s="26"/>
      <c r="B66" s="29" t="s">
        <v>82</v>
      </c>
      <c r="C66" s="52"/>
      <c r="D66" s="52"/>
      <c r="E66" s="52"/>
      <c r="F66" s="8">
        <v>1</v>
      </c>
      <c r="G66" s="8">
        <v>1</v>
      </c>
      <c r="H66" s="8">
        <v>1</v>
      </c>
      <c r="I66" s="8">
        <v>1</v>
      </c>
      <c r="J66" s="8">
        <v>1</v>
      </c>
      <c r="K66" s="8">
        <v>1</v>
      </c>
      <c r="L66" s="8">
        <v>1</v>
      </c>
      <c r="M66" s="8">
        <v>1</v>
      </c>
      <c r="N66" s="8">
        <v>1</v>
      </c>
      <c r="O66" s="52"/>
      <c r="P66" s="52"/>
      <c r="Q66" s="8">
        <v>1</v>
      </c>
      <c r="R66" s="52"/>
      <c r="S66" s="52"/>
    </row>
    <row r="67" spans="1:19">
      <c r="A67" s="26"/>
      <c r="B67" s="29" t="s">
        <v>79</v>
      </c>
      <c r="C67" s="52"/>
      <c r="D67" s="52"/>
      <c r="E67" s="52"/>
      <c r="F67" s="8">
        <v>1</v>
      </c>
      <c r="G67" s="8">
        <v>1</v>
      </c>
      <c r="H67" s="8">
        <v>1</v>
      </c>
      <c r="I67" s="8">
        <v>1</v>
      </c>
      <c r="J67" s="8">
        <v>1</v>
      </c>
      <c r="K67" s="8">
        <v>1</v>
      </c>
      <c r="L67" s="8">
        <v>1</v>
      </c>
      <c r="M67" s="52"/>
      <c r="N67" s="52"/>
      <c r="O67" s="52"/>
      <c r="P67" s="52"/>
      <c r="Q67" s="8">
        <v>1</v>
      </c>
      <c r="R67" s="52"/>
      <c r="S67" s="52"/>
    </row>
    <row r="68" spans="1:19">
      <c r="A68" s="26"/>
      <c r="B68" s="29" t="s">
        <v>122</v>
      </c>
      <c r="C68" s="52"/>
      <c r="D68" s="52"/>
      <c r="E68" s="52"/>
      <c r="F68" s="8">
        <v>1</v>
      </c>
      <c r="G68" s="52"/>
      <c r="H68" s="52"/>
      <c r="I68" s="52"/>
      <c r="J68" s="52"/>
      <c r="K68" s="52"/>
      <c r="L68" s="52"/>
      <c r="M68" s="52"/>
      <c r="N68" s="8">
        <v>1</v>
      </c>
      <c r="O68" s="52"/>
      <c r="P68" s="52"/>
      <c r="Q68" s="8">
        <v>1</v>
      </c>
      <c r="R68" s="52"/>
      <c r="S68" s="52"/>
    </row>
    <row r="69" spans="1:19">
      <c r="A69" s="26"/>
      <c r="B69" s="29" t="s">
        <v>123</v>
      </c>
      <c r="C69" s="52"/>
      <c r="D69" s="52"/>
      <c r="E69" s="52"/>
      <c r="F69" s="8">
        <v>1</v>
      </c>
      <c r="G69" s="8">
        <v>1</v>
      </c>
      <c r="H69" s="8">
        <v>1</v>
      </c>
      <c r="I69" s="8">
        <v>1</v>
      </c>
      <c r="J69" s="8">
        <v>1</v>
      </c>
      <c r="K69" s="8">
        <v>1</v>
      </c>
      <c r="L69" s="8">
        <v>1</v>
      </c>
      <c r="M69" s="8">
        <v>1</v>
      </c>
      <c r="N69" s="8">
        <v>1</v>
      </c>
      <c r="O69" s="52"/>
      <c r="P69" s="52"/>
      <c r="Q69" s="52"/>
      <c r="R69" s="52"/>
      <c r="S69" s="52"/>
    </row>
    <row r="70" spans="1:19">
      <c r="A70" s="26"/>
      <c r="B70" s="29" t="s">
        <v>83</v>
      </c>
      <c r="C70" s="52"/>
      <c r="D70" s="52"/>
      <c r="E70" s="52"/>
      <c r="F70" s="8">
        <v>1</v>
      </c>
      <c r="G70" s="8">
        <v>1</v>
      </c>
      <c r="H70" s="8">
        <v>1</v>
      </c>
      <c r="I70" s="8">
        <v>1</v>
      </c>
      <c r="J70" s="8">
        <v>1</v>
      </c>
      <c r="K70" s="8">
        <v>1</v>
      </c>
      <c r="L70" s="8">
        <v>1</v>
      </c>
      <c r="M70" s="8">
        <v>1</v>
      </c>
      <c r="N70" s="8">
        <v>1</v>
      </c>
      <c r="O70" s="52"/>
      <c r="P70" s="52"/>
      <c r="Q70" s="52"/>
      <c r="R70" s="52"/>
      <c r="S70" s="52"/>
    </row>
    <row r="71" spans="1:19">
      <c r="A71" s="26"/>
      <c r="B71" s="29" t="s">
        <v>84</v>
      </c>
      <c r="C71" s="52"/>
      <c r="D71" s="52"/>
      <c r="E71" s="52"/>
      <c r="F71" s="8">
        <v>1</v>
      </c>
      <c r="G71" s="8">
        <v>1</v>
      </c>
      <c r="H71" s="8">
        <v>1</v>
      </c>
      <c r="I71" s="8">
        <v>1</v>
      </c>
      <c r="J71" s="8">
        <v>1</v>
      </c>
      <c r="K71" s="8">
        <v>1</v>
      </c>
      <c r="L71" s="8">
        <v>1</v>
      </c>
      <c r="M71" s="8">
        <v>1</v>
      </c>
      <c r="N71" s="8">
        <v>1</v>
      </c>
      <c r="O71" s="52"/>
      <c r="P71" s="52"/>
      <c r="Q71" s="52"/>
      <c r="R71" s="52"/>
      <c r="S71" s="52"/>
    </row>
    <row r="72" spans="1:19">
      <c r="A72" s="26"/>
      <c r="B72" s="29" t="s">
        <v>85</v>
      </c>
      <c r="C72" s="52"/>
      <c r="D72" s="52"/>
      <c r="E72" s="52"/>
      <c r="F72" s="8">
        <v>1</v>
      </c>
      <c r="G72" s="8">
        <v>1</v>
      </c>
      <c r="H72" s="8">
        <v>1</v>
      </c>
      <c r="I72" s="8">
        <v>1</v>
      </c>
      <c r="J72" s="8">
        <v>1</v>
      </c>
      <c r="K72" s="8">
        <v>1</v>
      </c>
      <c r="L72" s="8">
        <v>1</v>
      </c>
      <c r="M72" s="8">
        <v>1</v>
      </c>
      <c r="N72" s="8">
        <v>1</v>
      </c>
      <c r="O72" s="52"/>
      <c r="P72" s="52"/>
      <c r="Q72" s="52"/>
      <c r="R72" s="52"/>
      <c r="S72" s="52"/>
    </row>
    <row r="73" spans="1:19">
      <c r="A73" s="26"/>
      <c r="B73" s="29" t="s">
        <v>86</v>
      </c>
      <c r="C73" s="52"/>
      <c r="D73" s="52"/>
      <c r="E73" s="52"/>
      <c r="F73" s="8">
        <v>1</v>
      </c>
      <c r="G73" s="8">
        <v>1</v>
      </c>
      <c r="H73" s="8">
        <v>1</v>
      </c>
      <c r="I73" s="8">
        <v>1</v>
      </c>
      <c r="J73" s="8">
        <v>1</v>
      </c>
      <c r="K73" s="8">
        <v>1</v>
      </c>
      <c r="L73" s="8">
        <v>1</v>
      </c>
      <c r="M73" s="8">
        <v>1</v>
      </c>
      <c r="N73" s="8">
        <v>1</v>
      </c>
      <c r="O73" s="52"/>
      <c r="P73" s="52"/>
      <c r="Q73" s="52"/>
      <c r="R73" s="52"/>
    </row>
    <row r="74" spans="1:19">
      <c r="A74" s="26"/>
      <c r="B74" s="29" t="s">
        <v>87</v>
      </c>
      <c r="C74" s="52"/>
      <c r="D74" s="52"/>
      <c r="E74" s="52"/>
      <c r="F74" s="8">
        <v>1</v>
      </c>
      <c r="G74" s="8">
        <v>1</v>
      </c>
      <c r="H74" s="8">
        <v>1</v>
      </c>
      <c r="I74" s="8">
        <v>1</v>
      </c>
      <c r="J74" s="8">
        <v>1</v>
      </c>
      <c r="K74" s="8">
        <v>1</v>
      </c>
      <c r="L74" s="8">
        <v>1</v>
      </c>
      <c r="M74" s="8">
        <v>1</v>
      </c>
      <c r="N74" s="8">
        <v>1</v>
      </c>
      <c r="O74" s="52"/>
      <c r="P74" s="52"/>
      <c r="Q74" s="52"/>
      <c r="R74" s="52"/>
    </row>
    <row r="75" spans="1:19">
      <c r="A75" s="26"/>
      <c r="B75" s="29" t="s">
        <v>88</v>
      </c>
      <c r="C75" s="52"/>
      <c r="D75" s="52"/>
      <c r="E75" s="52"/>
      <c r="F75" s="8">
        <v>1</v>
      </c>
      <c r="G75" s="8">
        <v>1</v>
      </c>
      <c r="H75" s="8">
        <v>1</v>
      </c>
      <c r="I75" s="8">
        <v>1</v>
      </c>
      <c r="J75" s="8">
        <v>1</v>
      </c>
      <c r="K75" s="8">
        <v>1</v>
      </c>
      <c r="L75" s="8">
        <v>1</v>
      </c>
      <c r="M75" s="8">
        <v>1</v>
      </c>
      <c r="N75" s="8">
        <v>1</v>
      </c>
      <c r="O75" s="52"/>
      <c r="P75" s="52"/>
      <c r="Q75" s="52"/>
      <c r="R75" s="52"/>
    </row>
    <row r="76" spans="1:19">
      <c r="B76" s="32" t="s">
        <v>124</v>
      </c>
      <c r="D76" s="22">
        <v>1</v>
      </c>
      <c r="E76" s="22">
        <v>1</v>
      </c>
    </row>
    <row r="79" spans="1:19">
      <c r="C79" s="29" t="s">
        <v>127</v>
      </c>
      <c r="D79" s="29" t="s">
        <v>128</v>
      </c>
      <c r="E79" s="29" t="s">
        <v>129</v>
      </c>
      <c r="F79" s="29" t="s">
        <v>130</v>
      </c>
      <c r="G79" s="29" t="s">
        <v>70</v>
      </c>
      <c r="H79" s="29" t="s">
        <v>131</v>
      </c>
      <c r="I79" s="29" t="s">
        <v>132</v>
      </c>
      <c r="J79" s="29" t="s">
        <v>133</v>
      </c>
      <c r="K79" s="29" t="s">
        <v>134</v>
      </c>
      <c r="L79" s="29" t="s">
        <v>135</v>
      </c>
      <c r="M79" s="29" t="s">
        <v>136</v>
      </c>
      <c r="N79" s="29" t="s">
        <v>66</v>
      </c>
      <c r="O79" s="29" t="s">
        <v>137</v>
      </c>
      <c r="P79" s="29" t="s">
        <v>138</v>
      </c>
      <c r="Q79" s="29" t="s">
        <v>139</v>
      </c>
      <c r="R79" s="29" t="s">
        <v>140</v>
      </c>
      <c r="S79" s="29" t="s">
        <v>159</v>
      </c>
    </row>
    <row r="80" spans="1:19">
      <c r="B80" s="29" t="s">
        <v>97</v>
      </c>
      <c r="C80" s="52"/>
      <c r="D80" s="8">
        <v>1</v>
      </c>
      <c r="E80" s="8">
        <v>1</v>
      </c>
      <c r="F80" s="52"/>
      <c r="G80" s="52"/>
      <c r="H80" s="52"/>
      <c r="I80" s="52"/>
      <c r="J80" s="52"/>
      <c r="K80" s="52"/>
      <c r="L80" s="52"/>
      <c r="M80" s="52"/>
      <c r="N80" s="52"/>
      <c r="O80" s="8">
        <v>1</v>
      </c>
      <c r="P80" s="52"/>
      <c r="R80" s="52"/>
      <c r="S80" s="52"/>
    </row>
    <row r="81" spans="2:19">
      <c r="B81" s="29" t="s">
        <v>98</v>
      </c>
      <c r="C81" s="52"/>
      <c r="D81" s="8">
        <v>1</v>
      </c>
      <c r="E81" s="8">
        <v>1</v>
      </c>
      <c r="F81" s="52"/>
      <c r="G81" s="52"/>
      <c r="H81" s="52"/>
      <c r="I81" s="52"/>
      <c r="J81" s="52"/>
      <c r="K81" s="52"/>
      <c r="L81" s="52"/>
      <c r="M81" s="52"/>
      <c r="N81" s="52"/>
      <c r="O81" s="8">
        <v>1</v>
      </c>
      <c r="P81" s="52"/>
      <c r="R81" s="52"/>
      <c r="S81" s="52"/>
    </row>
    <row r="82" spans="2:19" ht="19" customHeight="1">
      <c r="B82" s="29" t="s">
        <v>99</v>
      </c>
      <c r="C82" s="52"/>
      <c r="D82" s="8">
        <v>1</v>
      </c>
      <c r="E82" s="8">
        <v>1</v>
      </c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R82" s="52"/>
      <c r="S82" s="52"/>
    </row>
    <row r="83" spans="2:19" ht="19" customHeight="1">
      <c r="B83" s="29" t="s">
        <v>100</v>
      </c>
      <c r="C83" s="52"/>
      <c r="D83" s="8">
        <v>1</v>
      </c>
      <c r="E83" s="8">
        <v>1</v>
      </c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R83" s="52"/>
      <c r="S83" s="52"/>
    </row>
    <row r="84" spans="2:19">
      <c r="B84" s="29" t="s">
        <v>101</v>
      </c>
      <c r="C84" s="52"/>
      <c r="D84" s="8">
        <v>1</v>
      </c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R84" s="52"/>
      <c r="S84" s="8">
        <v>1</v>
      </c>
    </row>
    <row r="85" spans="2:19">
      <c r="B85" s="29" t="s">
        <v>102</v>
      </c>
      <c r="C85" s="52"/>
      <c r="D85" s="8">
        <v>1</v>
      </c>
      <c r="E85" s="8">
        <v>1</v>
      </c>
      <c r="F85" s="52"/>
      <c r="G85" s="52"/>
      <c r="H85" s="52"/>
      <c r="I85" s="52"/>
      <c r="J85" s="52"/>
      <c r="K85" s="52"/>
      <c r="L85" s="52"/>
      <c r="M85" s="52"/>
      <c r="N85" s="52"/>
      <c r="O85" s="8">
        <v>1</v>
      </c>
      <c r="P85" s="38"/>
      <c r="R85" s="52"/>
      <c r="S85" s="38"/>
    </row>
    <row r="86" spans="2:19">
      <c r="B86" s="29" t="s">
        <v>103</v>
      </c>
      <c r="C86" s="52"/>
      <c r="D86" s="8">
        <v>1</v>
      </c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8">
        <v>1</v>
      </c>
      <c r="P86" s="52"/>
      <c r="R86" s="52"/>
      <c r="S86" s="52"/>
    </row>
    <row r="87" spans="2:19">
      <c r="B87" s="29" t="s">
        <v>104</v>
      </c>
      <c r="C87" s="52"/>
      <c r="D87" s="8">
        <v>1</v>
      </c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8">
        <v>1</v>
      </c>
      <c r="P87" s="52"/>
      <c r="R87" s="52"/>
      <c r="S87" s="52"/>
    </row>
    <row r="88" spans="2:19">
      <c r="B88" s="29" t="s">
        <v>105</v>
      </c>
      <c r="C88" s="52"/>
      <c r="D88" s="8">
        <v>1</v>
      </c>
      <c r="E88" s="8">
        <v>1</v>
      </c>
      <c r="F88" s="52"/>
      <c r="G88" s="52"/>
      <c r="H88" s="52"/>
      <c r="I88" s="52"/>
      <c r="J88" s="52"/>
      <c r="K88" s="52"/>
      <c r="L88" s="52"/>
      <c r="M88" s="52"/>
      <c r="N88" s="52"/>
      <c r="O88" s="8">
        <v>1</v>
      </c>
      <c r="P88" s="52"/>
      <c r="R88" s="52"/>
      <c r="S88" s="52"/>
    </row>
    <row r="89" spans="2:19">
      <c r="B89" s="31" t="s">
        <v>124</v>
      </c>
      <c r="S89" s="22">
        <v>1</v>
      </c>
    </row>
    <row r="90" spans="2:19">
      <c r="B90" s="29" t="s">
        <v>106</v>
      </c>
      <c r="C90" s="8">
        <v>1</v>
      </c>
      <c r="D90" s="52"/>
      <c r="E90" s="52"/>
      <c r="F90" s="8">
        <v>1</v>
      </c>
      <c r="G90" s="8">
        <v>1</v>
      </c>
      <c r="H90" s="8">
        <v>1</v>
      </c>
      <c r="I90" s="8">
        <v>1</v>
      </c>
      <c r="J90" s="8">
        <v>1</v>
      </c>
      <c r="K90" s="8">
        <v>1</v>
      </c>
      <c r="L90" s="8">
        <v>1</v>
      </c>
      <c r="M90" s="8">
        <v>1</v>
      </c>
      <c r="N90" s="8">
        <v>1</v>
      </c>
      <c r="O90" s="52"/>
      <c r="P90" s="52"/>
      <c r="R90" s="8">
        <v>1</v>
      </c>
      <c r="S90" s="52"/>
    </row>
    <row r="91" spans="2:19">
      <c r="B91" s="29" t="s">
        <v>107</v>
      </c>
      <c r="C91" s="8">
        <v>1</v>
      </c>
      <c r="D91" s="52"/>
      <c r="E91" s="52"/>
      <c r="F91" s="8">
        <v>1</v>
      </c>
      <c r="G91" s="8">
        <v>1</v>
      </c>
      <c r="H91" s="8">
        <v>1</v>
      </c>
      <c r="I91" s="8">
        <v>1</v>
      </c>
      <c r="J91" s="8">
        <v>1</v>
      </c>
      <c r="K91" s="8">
        <v>1</v>
      </c>
      <c r="L91" s="8">
        <v>1</v>
      </c>
      <c r="M91" s="8">
        <v>1</v>
      </c>
      <c r="N91" s="8">
        <v>1</v>
      </c>
      <c r="O91" s="52"/>
      <c r="P91" s="52"/>
      <c r="R91" s="8">
        <v>1</v>
      </c>
      <c r="S91" s="52"/>
    </row>
    <row r="92" spans="2:19">
      <c r="B92" s="29" t="s">
        <v>78</v>
      </c>
      <c r="C92" s="8">
        <v>1</v>
      </c>
      <c r="D92" s="52"/>
      <c r="E92" s="52"/>
      <c r="F92" s="8">
        <v>1</v>
      </c>
      <c r="G92" s="8">
        <v>1</v>
      </c>
      <c r="H92" s="8">
        <v>1</v>
      </c>
      <c r="I92" s="8">
        <v>1</v>
      </c>
      <c r="J92" s="8">
        <v>1</v>
      </c>
      <c r="K92" s="8">
        <v>1</v>
      </c>
      <c r="L92" s="8">
        <v>1</v>
      </c>
      <c r="M92" s="8">
        <v>1</v>
      </c>
      <c r="N92" s="8">
        <v>1</v>
      </c>
      <c r="O92" s="52"/>
      <c r="P92" s="52"/>
      <c r="R92" s="8">
        <v>1</v>
      </c>
      <c r="S92" s="52"/>
    </row>
    <row r="93" spans="2:19">
      <c r="B93" s="29" t="s">
        <v>7</v>
      </c>
      <c r="C93" s="8">
        <v>1</v>
      </c>
      <c r="D93" s="52"/>
      <c r="E93" s="52"/>
      <c r="F93" s="8">
        <v>1</v>
      </c>
      <c r="G93" s="8">
        <v>1</v>
      </c>
      <c r="H93" s="8">
        <v>1</v>
      </c>
      <c r="I93" s="8">
        <v>1</v>
      </c>
      <c r="J93" s="8">
        <v>1</v>
      </c>
      <c r="K93" s="8">
        <v>1</v>
      </c>
      <c r="L93" s="8">
        <v>1</v>
      </c>
      <c r="M93" s="8">
        <v>1</v>
      </c>
      <c r="N93" s="8">
        <v>1</v>
      </c>
      <c r="O93" s="52"/>
      <c r="P93" s="52"/>
      <c r="R93" s="28">
        <v>1</v>
      </c>
      <c r="S93" s="52"/>
    </row>
    <row r="94" spans="2:19">
      <c r="B94" s="29" t="s">
        <v>8</v>
      </c>
      <c r="C94" s="8">
        <v>1</v>
      </c>
      <c r="D94" s="52"/>
      <c r="E94" s="52"/>
      <c r="F94" s="8">
        <v>1</v>
      </c>
      <c r="G94" s="8">
        <v>1</v>
      </c>
      <c r="H94" s="8">
        <v>1</v>
      </c>
      <c r="I94" s="8">
        <v>1</v>
      </c>
      <c r="J94" s="8">
        <v>1</v>
      </c>
      <c r="K94" s="8">
        <v>1</v>
      </c>
      <c r="L94" s="8">
        <v>1</v>
      </c>
      <c r="M94" s="8">
        <v>1</v>
      </c>
      <c r="N94" s="8">
        <v>1</v>
      </c>
      <c r="O94" s="52"/>
      <c r="P94" s="52"/>
      <c r="R94" s="8">
        <v>1</v>
      </c>
      <c r="S94" s="52"/>
    </row>
    <row r="95" spans="2:19">
      <c r="B95" s="29" t="s">
        <v>9</v>
      </c>
      <c r="C95" s="8">
        <v>1</v>
      </c>
      <c r="D95" s="52"/>
      <c r="E95" s="52"/>
      <c r="F95" s="8">
        <v>1</v>
      </c>
      <c r="G95" s="8">
        <v>1</v>
      </c>
      <c r="H95" s="8">
        <v>1</v>
      </c>
      <c r="I95" s="8">
        <v>1</v>
      </c>
      <c r="J95" s="8">
        <v>1</v>
      </c>
      <c r="K95" s="8">
        <v>1</v>
      </c>
      <c r="L95" s="8">
        <v>1</v>
      </c>
      <c r="M95" s="8">
        <v>1</v>
      </c>
      <c r="N95" s="8">
        <v>1</v>
      </c>
      <c r="O95" s="52"/>
      <c r="P95" s="52"/>
      <c r="R95" s="8">
        <v>1</v>
      </c>
      <c r="S95" s="52"/>
    </row>
    <row r="96" spans="2:19">
      <c r="B96" s="29" t="s">
        <v>10</v>
      </c>
      <c r="C96" s="8">
        <v>1</v>
      </c>
      <c r="D96" s="52"/>
      <c r="E96" s="52"/>
      <c r="F96" s="8">
        <v>1</v>
      </c>
      <c r="G96" s="8">
        <v>1</v>
      </c>
      <c r="H96" s="8">
        <v>1</v>
      </c>
      <c r="I96" s="8">
        <v>1</v>
      </c>
      <c r="J96" s="8">
        <v>1</v>
      </c>
      <c r="K96" s="8">
        <v>1</v>
      </c>
      <c r="L96" s="8">
        <v>1</v>
      </c>
      <c r="M96" s="8">
        <v>1</v>
      </c>
      <c r="N96" s="8">
        <v>1</v>
      </c>
      <c r="O96" s="52"/>
      <c r="P96" s="52"/>
      <c r="R96" s="8">
        <v>1</v>
      </c>
      <c r="S96" s="52"/>
    </row>
    <row r="97" spans="2:19">
      <c r="B97" s="29" t="s">
        <v>12</v>
      </c>
      <c r="C97" s="8">
        <v>1</v>
      </c>
      <c r="D97" s="52"/>
      <c r="E97" s="52"/>
      <c r="F97" s="8">
        <v>1</v>
      </c>
      <c r="G97" s="8">
        <v>1</v>
      </c>
      <c r="H97" s="8">
        <v>1</v>
      </c>
      <c r="I97" s="8">
        <v>1</v>
      </c>
      <c r="J97" s="8">
        <v>1</v>
      </c>
      <c r="K97" s="8">
        <v>1</v>
      </c>
      <c r="L97" s="8">
        <v>1</v>
      </c>
      <c r="M97" s="8">
        <v>1</v>
      </c>
      <c r="N97" s="8">
        <v>1</v>
      </c>
      <c r="O97" s="52"/>
      <c r="P97" s="52"/>
      <c r="R97" s="8">
        <v>1</v>
      </c>
      <c r="S97" s="52"/>
    </row>
    <row r="98" spans="2:19">
      <c r="B98" s="29" t="s">
        <v>15</v>
      </c>
      <c r="C98" s="8">
        <v>1</v>
      </c>
      <c r="D98" s="52"/>
      <c r="E98" s="52"/>
      <c r="F98" s="8">
        <v>1</v>
      </c>
      <c r="G98" s="8">
        <v>1</v>
      </c>
      <c r="H98" s="8">
        <v>1</v>
      </c>
      <c r="I98" s="8">
        <v>1</v>
      </c>
      <c r="J98" s="8">
        <v>1</v>
      </c>
      <c r="K98" s="8">
        <v>1</v>
      </c>
      <c r="L98" s="8">
        <v>1</v>
      </c>
      <c r="M98" s="8">
        <v>1</v>
      </c>
      <c r="N98" s="8">
        <v>1</v>
      </c>
      <c r="O98" s="52"/>
      <c r="P98" s="52"/>
      <c r="R98" s="8">
        <v>1</v>
      </c>
      <c r="S98" s="52"/>
    </row>
    <row r="99" spans="2:19">
      <c r="B99" s="29" t="s">
        <v>17</v>
      </c>
      <c r="C99" s="8">
        <v>1</v>
      </c>
      <c r="D99" s="52"/>
      <c r="E99" s="52"/>
      <c r="F99" s="8">
        <v>1</v>
      </c>
      <c r="G99" s="8">
        <v>1</v>
      </c>
      <c r="H99" s="8">
        <v>1</v>
      </c>
      <c r="I99" s="8">
        <v>1</v>
      </c>
      <c r="J99" s="8">
        <v>1</v>
      </c>
      <c r="K99" s="8">
        <v>1</v>
      </c>
      <c r="L99" s="8">
        <v>1</v>
      </c>
      <c r="M99" s="8">
        <v>1</v>
      </c>
      <c r="N99" s="8">
        <v>1</v>
      </c>
      <c r="O99" s="52"/>
      <c r="P99" s="52"/>
      <c r="R99" s="8">
        <v>1</v>
      </c>
      <c r="S99" s="52"/>
    </row>
    <row r="100" spans="2:19">
      <c r="B100" s="29" t="s">
        <v>19</v>
      </c>
      <c r="C100" s="8">
        <v>1</v>
      </c>
      <c r="D100" s="52"/>
      <c r="E100" s="52"/>
      <c r="F100" s="8">
        <v>1</v>
      </c>
      <c r="G100" s="8">
        <v>1</v>
      </c>
      <c r="H100" s="8">
        <v>1</v>
      </c>
      <c r="I100" s="8">
        <v>1</v>
      </c>
      <c r="J100" s="8">
        <v>1</v>
      </c>
      <c r="K100" s="8">
        <v>1</v>
      </c>
      <c r="L100" s="8">
        <v>1</v>
      </c>
      <c r="M100" s="8">
        <v>1</v>
      </c>
      <c r="N100" s="8">
        <v>1</v>
      </c>
      <c r="O100" s="52"/>
      <c r="P100" s="52"/>
      <c r="R100" s="8">
        <v>1</v>
      </c>
      <c r="S100" s="52"/>
    </row>
    <row r="101" spans="2:19">
      <c r="B101" s="29" t="s">
        <v>108</v>
      </c>
      <c r="C101" s="8">
        <v>1</v>
      </c>
      <c r="D101" s="52"/>
      <c r="E101" s="52"/>
      <c r="F101" s="8">
        <v>1</v>
      </c>
      <c r="G101" s="52"/>
      <c r="H101" s="52"/>
      <c r="I101" s="52"/>
      <c r="J101" s="52"/>
      <c r="K101" s="8">
        <v>1</v>
      </c>
      <c r="L101" s="8">
        <v>1</v>
      </c>
      <c r="M101" s="8">
        <v>1</v>
      </c>
      <c r="N101" s="8">
        <v>1</v>
      </c>
      <c r="O101" s="52"/>
      <c r="P101" s="52"/>
      <c r="R101" s="8">
        <v>1</v>
      </c>
      <c r="S101" s="52"/>
    </row>
    <row r="102" spans="2:19">
      <c r="B102" s="29" t="s">
        <v>22</v>
      </c>
      <c r="C102" s="8">
        <v>1</v>
      </c>
      <c r="D102" s="52"/>
      <c r="E102" s="52"/>
      <c r="F102" s="8">
        <v>1</v>
      </c>
      <c r="G102" s="52"/>
      <c r="H102" s="52"/>
      <c r="I102" s="52"/>
      <c r="J102" s="52"/>
      <c r="K102" s="8">
        <v>1</v>
      </c>
      <c r="L102" s="8">
        <v>1</v>
      </c>
      <c r="M102" s="8">
        <v>1</v>
      </c>
      <c r="N102" s="8">
        <v>1</v>
      </c>
      <c r="O102" s="52"/>
      <c r="P102" s="52"/>
      <c r="R102" s="8">
        <v>1</v>
      </c>
      <c r="S102" s="52"/>
    </row>
    <row r="103" spans="2:19">
      <c r="B103" s="29" t="s">
        <v>25</v>
      </c>
      <c r="C103" s="8">
        <v>1</v>
      </c>
      <c r="D103" s="52"/>
      <c r="E103" s="52"/>
      <c r="F103" s="8">
        <v>1</v>
      </c>
      <c r="G103" s="52"/>
      <c r="H103" s="52"/>
      <c r="I103" s="52"/>
      <c r="J103" s="52"/>
      <c r="K103" s="8">
        <v>1</v>
      </c>
      <c r="L103" s="8">
        <v>1</v>
      </c>
      <c r="M103" s="8">
        <v>1</v>
      </c>
      <c r="N103" s="8">
        <v>1</v>
      </c>
      <c r="O103" s="52"/>
      <c r="P103" s="52"/>
      <c r="R103" s="8">
        <v>1</v>
      </c>
      <c r="S103" s="52"/>
    </row>
    <row r="104" spans="2:19">
      <c r="B104" s="29" t="s">
        <v>26</v>
      </c>
      <c r="C104" s="8">
        <v>1</v>
      </c>
      <c r="D104" s="52"/>
      <c r="E104" s="52"/>
      <c r="F104" s="8">
        <v>1</v>
      </c>
      <c r="G104" s="52"/>
      <c r="H104" s="52"/>
      <c r="I104" s="52"/>
      <c r="J104" s="52"/>
      <c r="K104" s="8">
        <v>1</v>
      </c>
      <c r="L104" s="8">
        <v>1</v>
      </c>
      <c r="M104" s="8">
        <v>1</v>
      </c>
      <c r="N104" s="8">
        <v>1</v>
      </c>
      <c r="O104" s="52"/>
      <c r="P104" s="52"/>
      <c r="R104" s="8">
        <v>1</v>
      </c>
      <c r="S104" s="52"/>
    </row>
    <row r="105" spans="2:19">
      <c r="B105" s="29" t="s">
        <v>27</v>
      </c>
      <c r="C105" s="8">
        <v>1</v>
      </c>
      <c r="D105" s="52"/>
      <c r="E105" s="52"/>
      <c r="F105" s="8">
        <v>1</v>
      </c>
      <c r="G105" s="52"/>
      <c r="H105" s="52"/>
      <c r="I105" s="52"/>
      <c r="J105" s="52"/>
      <c r="K105" s="8">
        <v>1</v>
      </c>
      <c r="L105" s="8">
        <v>1</v>
      </c>
      <c r="M105" s="8">
        <v>1</v>
      </c>
      <c r="N105" s="8">
        <v>1</v>
      </c>
      <c r="O105" s="52"/>
      <c r="P105" s="52"/>
      <c r="R105" s="8">
        <v>1</v>
      </c>
      <c r="S105" s="52"/>
    </row>
    <row r="106" spans="2:19" ht="17" customHeight="1">
      <c r="B106" s="29" t="s">
        <v>109</v>
      </c>
      <c r="C106" s="8">
        <v>1</v>
      </c>
      <c r="D106" s="52"/>
      <c r="E106" s="52"/>
      <c r="F106" s="8">
        <v>1</v>
      </c>
      <c r="G106" s="52"/>
      <c r="H106" s="52"/>
      <c r="I106" s="52"/>
      <c r="J106" s="52"/>
      <c r="K106" s="8">
        <v>1</v>
      </c>
      <c r="L106" s="8">
        <v>1</v>
      </c>
      <c r="M106" s="8">
        <v>1</v>
      </c>
      <c r="N106" s="8">
        <v>1</v>
      </c>
      <c r="O106" s="52"/>
      <c r="P106" s="52"/>
      <c r="R106" s="8">
        <v>1</v>
      </c>
      <c r="S106" s="52"/>
    </row>
    <row r="107" spans="2:19">
      <c r="B107" s="29" t="s">
        <v>28</v>
      </c>
      <c r="C107" s="8">
        <v>1</v>
      </c>
      <c r="D107" s="52"/>
      <c r="E107" s="52"/>
      <c r="F107" s="8">
        <v>1</v>
      </c>
      <c r="G107" s="52"/>
      <c r="H107" s="52"/>
      <c r="I107" s="52"/>
      <c r="J107" s="52"/>
      <c r="K107" s="8">
        <v>1</v>
      </c>
      <c r="L107" s="8">
        <v>1</v>
      </c>
      <c r="M107" s="8">
        <v>1</v>
      </c>
      <c r="N107" s="8">
        <v>1</v>
      </c>
      <c r="O107" s="52"/>
      <c r="P107" s="52"/>
      <c r="R107" s="8">
        <v>1</v>
      </c>
      <c r="S107" s="52"/>
    </row>
    <row r="108" spans="2:19">
      <c r="B108" s="29" t="s">
        <v>29</v>
      </c>
      <c r="C108" s="8">
        <v>1</v>
      </c>
      <c r="D108" s="52"/>
      <c r="E108" s="52"/>
      <c r="F108" s="8">
        <v>1</v>
      </c>
      <c r="G108" s="52"/>
      <c r="H108" s="52"/>
      <c r="I108" s="52"/>
      <c r="J108" s="52"/>
      <c r="K108" s="8">
        <v>1</v>
      </c>
      <c r="L108" s="8">
        <v>1</v>
      </c>
      <c r="M108" s="8">
        <v>1</v>
      </c>
      <c r="N108" s="8">
        <v>1</v>
      </c>
      <c r="O108" s="52"/>
      <c r="P108" s="52"/>
      <c r="R108" s="8">
        <v>1</v>
      </c>
      <c r="S108" s="52"/>
    </row>
    <row r="109" spans="2:19">
      <c r="B109" s="29" t="s">
        <v>110</v>
      </c>
      <c r="C109" s="8">
        <v>1</v>
      </c>
      <c r="D109" s="52"/>
      <c r="E109" s="52"/>
      <c r="F109" s="8">
        <v>1</v>
      </c>
      <c r="G109" s="52"/>
      <c r="H109" s="52"/>
      <c r="I109" s="52"/>
      <c r="J109" s="52"/>
      <c r="K109" s="8">
        <v>1</v>
      </c>
      <c r="L109" s="8">
        <v>1</v>
      </c>
      <c r="M109" s="8">
        <v>1</v>
      </c>
      <c r="N109" s="8">
        <v>1</v>
      </c>
      <c r="O109" s="52"/>
      <c r="P109" s="52"/>
      <c r="R109" s="8">
        <v>1</v>
      </c>
      <c r="S109" s="52"/>
    </row>
    <row r="110" spans="2:19">
      <c r="B110" s="29" t="s">
        <v>35</v>
      </c>
      <c r="C110" s="8">
        <v>1</v>
      </c>
      <c r="D110" s="52"/>
      <c r="E110" s="52"/>
      <c r="F110" s="8">
        <v>1</v>
      </c>
      <c r="G110" s="52"/>
      <c r="H110" s="52"/>
      <c r="I110" s="52"/>
      <c r="J110" s="52"/>
      <c r="K110" s="8">
        <v>1</v>
      </c>
      <c r="L110" s="8">
        <v>1</v>
      </c>
      <c r="M110" s="8">
        <v>1</v>
      </c>
      <c r="N110" s="8">
        <v>1</v>
      </c>
      <c r="O110" s="52"/>
      <c r="P110" s="52"/>
      <c r="R110" s="8">
        <v>1</v>
      </c>
      <c r="S110" s="52"/>
    </row>
    <row r="111" spans="2:19">
      <c r="B111" s="29" t="s">
        <v>36</v>
      </c>
      <c r="C111" s="8">
        <v>1</v>
      </c>
      <c r="D111" s="52"/>
      <c r="E111" s="52"/>
      <c r="F111" s="8">
        <v>1</v>
      </c>
      <c r="G111" s="52"/>
      <c r="H111" s="52"/>
      <c r="I111" s="52"/>
      <c r="J111" s="52"/>
      <c r="K111" s="8">
        <v>1</v>
      </c>
      <c r="L111" s="8">
        <v>1</v>
      </c>
      <c r="M111" s="8">
        <v>1</v>
      </c>
      <c r="N111" s="8">
        <v>1</v>
      </c>
      <c r="O111" s="52"/>
      <c r="P111" s="52"/>
      <c r="R111" s="8">
        <v>1</v>
      </c>
      <c r="S111" s="52"/>
    </row>
    <row r="112" spans="2:19">
      <c r="B112" s="29" t="s">
        <v>37</v>
      </c>
      <c r="C112" s="8">
        <v>1</v>
      </c>
      <c r="D112" s="52"/>
      <c r="E112" s="52"/>
      <c r="F112" s="8">
        <v>1</v>
      </c>
      <c r="G112" s="52"/>
      <c r="H112" s="52"/>
      <c r="I112" s="52"/>
      <c r="J112" s="52"/>
      <c r="K112" s="8">
        <v>1</v>
      </c>
      <c r="L112" s="8">
        <v>1</v>
      </c>
      <c r="M112" s="8">
        <v>1</v>
      </c>
      <c r="N112" s="8">
        <v>1</v>
      </c>
      <c r="O112" s="52"/>
      <c r="P112" s="52"/>
      <c r="R112" s="8">
        <v>1</v>
      </c>
      <c r="S112" s="52"/>
    </row>
    <row r="113" spans="2:19">
      <c r="B113" s="29" t="s">
        <v>30</v>
      </c>
      <c r="C113" s="8">
        <v>1</v>
      </c>
      <c r="D113" s="52"/>
      <c r="E113" s="52"/>
      <c r="F113" s="8">
        <v>1</v>
      </c>
      <c r="G113" s="52"/>
      <c r="H113" s="52"/>
      <c r="I113" s="52"/>
      <c r="J113" s="52"/>
      <c r="K113" s="8">
        <v>1</v>
      </c>
      <c r="L113" s="8">
        <v>1</v>
      </c>
      <c r="M113" s="8">
        <v>1</v>
      </c>
      <c r="N113" s="8">
        <v>1</v>
      </c>
      <c r="O113" s="52"/>
      <c r="P113" s="52"/>
      <c r="R113" s="8">
        <v>1</v>
      </c>
      <c r="S113" s="52"/>
    </row>
    <row r="114" spans="2:19">
      <c r="B114" s="29" t="s">
        <v>111</v>
      </c>
      <c r="C114" s="8">
        <v>1</v>
      </c>
      <c r="D114" s="52"/>
      <c r="E114" s="52"/>
      <c r="F114" s="8">
        <v>1</v>
      </c>
      <c r="G114" s="52"/>
      <c r="H114" s="52"/>
      <c r="I114" s="52"/>
      <c r="J114" s="52"/>
      <c r="K114" s="8">
        <v>1</v>
      </c>
      <c r="L114" s="8">
        <v>1</v>
      </c>
      <c r="M114" s="8">
        <v>1</v>
      </c>
      <c r="N114" s="8">
        <v>1</v>
      </c>
      <c r="O114" s="52"/>
      <c r="P114" s="52"/>
      <c r="R114" s="8">
        <v>1</v>
      </c>
      <c r="S114" s="52"/>
    </row>
    <row r="115" spans="2:19">
      <c r="B115" s="29" t="s">
        <v>112</v>
      </c>
      <c r="C115" s="8">
        <v>1</v>
      </c>
      <c r="D115" s="52"/>
      <c r="E115" s="52"/>
      <c r="F115" s="8">
        <v>1</v>
      </c>
      <c r="G115" s="52"/>
      <c r="H115" s="52"/>
      <c r="I115" s="52"/>
      <c r="J115" s="52"/>
      <c r="K115" s="8">
        <v>1</v>
      </c>
      <c r="L115" s="8">
        <v>1</v>
      </c>
      <c r="M115" s="8">
        <v>1</v>
      </c>
      <c r="N115" s="8">
        <v>1</v>
      </c>
      <c r="O115" s="52"/>
      <c r="P115" s="52"/>
      <c r="R115" s="8">
        <v>1</v>
      </c>
      <c r="S115" s="52"/>
    </row>
    <row r="116" spans="2:19">
      <c r="B116" s="29" t="s">
        <v>32</v>
      </c>
      <c r="C116" s="8">
        <v>1</v>
      </c>
      <c r="D116" s="52"/>
      <c r="E116" s="52"/>
      <c r="F116" s="8">
        <v>1</v>
      </c>
      <c r="G116" s="52"/>
      <c r="H116" s="52"/>
      <c r="I116" s="52"/>
      <c r="J116" s="52"/>
      <c r="K116" s="8">
        <v>1</v>
      </c>
      <c r="L116" s="8">
        <v>1</v>
      </c>
      <c r="M116" s="8">
        <v>1</v>
      </c>
      <c r="N116" s="8">
        <v>1</v>
      </c>
      <c r="O116" s="52"/>
      <c r="P116" s="52"/>
      <c r="R116" s="8">
        <v>1</v>
      </c>
      <c r="S116" s="52"/>
    </row>
    <row r="117" spans="2:19">
      <c r="B117" s="29" t="s">
        <v>33</v>
      </c>
      <c r="C117" s="8">
        <v>1</v>
      </c>
      <c r="D117" s="52"/>
      <c r="E117" s="52"/>
      <c r="F117" s="8">
        <v>1</v>
      </c>
      <c r="G117" s="52"/>
      <c r="H117" s="52"/>
      <c r="I117" s="52"/>
      <c r="J117" s="52"/>
      <c r="K117" s="8">
        <v>1</v>
      </c>
      <c r="L117" s="8">
        <v>1</v>
      </c>
      <c r="M117" s="8">
        <v>1</v>
      </c>
      <c r="N117" s="8">
        <v>1</v>
      </c>
      <c r="O117" s="52"/>
      <c r="P117" s="52"/>
      <c r="R117" s="8">
        <v>1</v>
      </c>
      <c r="S117" s="52"/>
    </row>
    <row r="118" spans="2:19">
      <c r="B118" s="29" t="s">
        <v>113</v>
      </c>
      <c r="C118" s="52"/>
      <c r="D118" s="52"/>
      <c r="E118" s="52"/>
      <c r="F118" s="8">
        <v>1</v>
      </c>
      <c r="G118" s="52"/>
      <c r="H118" s="52"/>
      <c r="I118" s="52"/>
      <c r="J118" s="52"/>
      <c r="K118" s="8">
        <v>1</v>
      </c>
      <c r="L118" s="8">
        <v>1</v>
      </c>
      <c r="M118" s="8">
        <v>1</v>
      </c>
      <c r="N118" s="8">
        <v>1</v>
      </c>
      <c r="O118" s="52"/>
      <c r="P118" s="52"/>
      <c r="R118" s="8">
        <v>1</v>
      </c>
      <c r="S118" s="52"/>
    </row>
    <row r="119" spans="2:19">
      <c r="B119" s="29" t="s">
        <v>114</v>
      </c>
      <c r="C119" s="52"/>
      <c r="D119" s="52"/>
      <c r="E119" s="52"/>
      <c r="F119" s="8">
        <v>1</v>
      </c>
      <c r="G119" s="52"/>
      <c r="H119" s="52"/>
      <c r="I119" s="52"/>
      <c r="J119" s="52"/>
      <c r="K119" s="8">
        <v>1</v>
      </c>
      <c r="L119" s="8">
        <v>1</v>
      </c>
      <c r="M119" s="8">
        <v>1</v>
      </c>
      <c r="N119" s="8">
        <v>1</v>
      </c>
      <c r="O119" s="52"/>
      <c r="P119" s="52"/>
      <c r="R119" s="8">
        <v>1</v>
      </c>
      <c r="S119" s="52"/>
    </row>
    <row r="120" spans="2:19">
      <c r="B120" s="29" t="s">
        <v>48</v>
      </c>
      <c r="C120" s="52"/>
      <c r="D120" s="52"/>
      <c r="E120" s="52"/>
      <c r="F120" s="8">
        <v>1</v>
      </c>
      <c r="G120" s="52"/>
      <c r="H120" s="52"/>
      <c r="I120" s="52"/>
      <c r="J120" s="52"/>
      <c r="K120" s="8">
        <v>1</v>
      </c>
      <c r="L120" s="8">
        <v>1</v>
      </c>
      <c r="M120" s="8">
        <v>1</v>
      </c>
      <c r="N120" s="8">
        <v>1</v>
      </c>
      <c r="O120" s="52"/>
      <c r="P120" s="52"/>
      <c r="R120" s="8">
        <v>1</v>
      </c>
      <c r="S120" s="52"/>
    </row>
    <row r="121" spans="2:19">
      <c r="B121" s="29" t="s">
        <v>115</v>
      </c>
      <c r="C121" s="52"/>
      <c r="D121" s="52"/>
      <c r="E121" s="52"/>
      <c r="F121" s="8">
        <v>1</v>
      </c>
      <c r="G121" s="52"/>
      <c r="H121" s="52"/>
      <c r="I121" s="52"/>
      <c r="J121" s="52"/>
      <c r="K121" s="8">
        <v>1</v>
      </c>
      <c r="L121" s="8">
        <v>1</v>
      </c>
      <c r="M121" s="8">
        <v>1</v>
      </c>
      <c r="N121" s="8">
        <v>1</v>
      </c>
      <c r="O121" s="52"/>
      <c r="P121" s="52"/>
      <c r="R121" s="8">
        <v>1</v>
      </c>
      <c r="S121" s="52"/>
    </row>
    <row r="122" spans="2:19">
      <c r="B122" s="29" t="s">
        <v>20</v>
      </c>
      <c r="C122" s="52"/>
      <c r="D122" s="52"/>
      <c r="E122" s="52"/>
      <c r="F122" s="8">
        <v>1</v>
      </c>
      <c r="G122" s="8">
        <v>1</v>
      </c>
      <c r="H122" s="8">
        <v>1</v>
      </c>
      <c r="I122" s="8">
        <v>1</v>
      </c>
      <c r="J122" s="8">
        <v>1</v>
      </c>
      <c r="K122" s="8">
        <v>1</v>
      </c>
      <c r="L122" s="8">
        <v>1</v>
      </c>
      <c r="M122" s="8">
        <v>1</v>
      </c>
      <c r="N122" s="8">
        <v>1</v>
      </c>
      <c r="O122" s="52"/>
      <c r="P122" s="52"/>
      <c r="R122" s="8">
        <v>1</v>
      </c>
      <c r="S122" s="52"/>
    </row>
    <row r="123" spans="2:19">
      <c r="B123" s="29" t="s">
        <v>116</v>
      </c>
      <c r="C123" s="8">
        <v>1</v>
      </c>
      <c r="D123" s="52"/>
      <c r="E123" s="52"/>
      <c r="F123" s="8">
        <v>1</v>
      </c>
      <c r="G123" s="52"/>
      <c r="H123" s="52"/>
      <c r="I123" s="52"/>
      <c r="J123" s="52"/>
      <c r="K123" s="8">
        <v>1</v>
      </c>
      <c r="L123" s="8">
        <v>1</v>
      </c>
      <c r="M123" s="8">
        <v>1</v>
      </c>
      <c r="N123" s="8">
        <v>1</v>
      </c>
      <c r="O123" s="52"/>
      <c r="P123" s="52"/>
      <c r="R123" s="8">
        <v>1</v>
      </c>
      <c r="S123" s="52"/>
    </row>
    <row r="124" spans="2:19">
      <c r="B124" s="29" t="s">
        <v>38</v>
      </c>
      <c r="C124" s="8">
        <v>1</v>
      </c>
      <c r="D124" s="52"/>
      <c r="E124" s="52"/>
      <c r="F124" s="8">
        <v>1</v>
      </c>
      <c r="G124" s="52"/>
      <c r="H124" s="52"/>
      <c r="I124" s="52"/>
      <c r="J124" s="52"/>
      <c r="K124" s="8">
        <v>1</v>
      </c>
      <c r="L124" s="8">
        <v>1</v>
      </c>
      <c r="M124" s="8">
        <v>1</v>
      </c>
      <c r="N124" s="8">
        <v>1</v>
      </c>
      <c r="O124" s="52"/>
      <c r="P124" s="52"/>
      <c r="R124" s="8">
        <v>1</v>
      </c>
      <c r="S124" s="52"/>
    </row>
    <row r="125" spans="2:19">
      <c r="B125" s="29" t="s">
        <v>39</v>
      </c>
      <c r="C125" s="8">
        <v>1</v>
      </c>
      <c r="D125" s="52"/>
      <c r="E125" s="52"/>
      <c r="F125" s="8">
        <v>1</v>
      </c>
      <c r="G125" s="52"/>
      <c r="H125" s="52"/>
      <c r="I125" s="52"/>
      <c r="J125" s="52"/>
      <c r="K125" s="8">
        <v>1</v>
      </c>
      <c r="L125" s="8">
        <v>1</v>
      </c>
      <c r="M125" s="8">
        <v>1</v>
      </c>
      <c r="N125" s="8">
        <v>1</v>
      </c>
      <c r="O125" s="52"/>
      <c r="P125" s="52"/>
      <c r="R125" s="8">
        <v>1</v>
      </c>
      <c r="S125" s="52"/>
    </row>
    <row r="126" spans="2:19">
      <c r="B126" s="29" t="s">
        <v>40</v>
      </c>
      <c r="C126" s="8">
        <v>1</v>
      </c>
      <c r="D126" s="52"/>
      <c r="E126" s="52"/>
      <c r="F126" s="8">
        <v>1</v>
      </c>
      <c r="G126" s="52"/>
      <c r="H126" s="52"/>
      <c r="I126" s="52"/>
      <c r="J126" s="52"/>
      <c r="K126" s="8">
        <v>1</v>
      </c>
      <c r="L126" s="8">
        <v>1</v>
      </c>
      <c r="M126" s="8">
        <v>1</v>
      </c>
      <c r="N126" s="8">
        <v>1</v>
      </c>
      <c r="O126" s="52"/>
      <c r="P126" s="52"/>
      <c r="R126" s="8">
        <v>1</v>
      </c>
      <c r="S126" s="52"/>
    </row>
    <row r="127" spans="2:19">
      <c r="B127" s="29" t="s">
        <v>41</v>
      </c>
      <c r="C127" s="8">
        <v>1</v>
      </c>
      <c r="D127" s="52"/>
      <c r="E127" s="52"/>
      <c r="F127" s="8">
        <v>1</v>
      </c>
      <c r="G127" s="52"/>
      <c r="H127" s="52"/>
      <c r="I127" s="52"/>
      <c r="J127" s="52"/>
      <c r="K127" s="8">
        <v>1</v>
      </c>
      <c r="L127" s="8">
        <v>1</v>
      </c>
      <c r="M127" s="8">
        <v>1</v>
      </c>
      <c r="N127" s="8">
        <v>1</v>
      </c>
      <c r="O127" s="52"/>
      <c r="P127" s="52"/>
      <c r="R127" s="8">
        <v>1</v>
      </c>
      <c r="S127" s="52"/>
    </row>
    <row r="128" spans="2:19">
      <c r="B128" s="29" t="s">
        <v>42</v>
      </c>
      <c r="C128" s="8">
        <v>1</v>
      </c>
      <c r="D128" s="52"/>
      <c r="E128" s="52"/>
      <c r="F128" s="8">
        <v>1</v>
      </c>
      <c r="G128" s="52"/>
      <c r="H128" s="52"/>
      <c r="I128" s="52"/>
      <c r="J128" s="52"/>
      <c r="K128" s="8">
        <v>1</v>
      </c>
      <c r="L128" s="8">
        <v>1</v>
      </c>
      <c r="M128" s="8">
        <v>1</v>
      </c>
      <c r="N128" s="8">
        <v>1</v>
      </c>
      <c r="O128" s="52"/>
      <c r="P128" s="52"/>
      <c r="R128" s="8">
        <v>1</v>
      </c>
      <c r="S128" s="52"/>
    </row>
    <row r="129" spans="2:19">
      <c r="B129" s="29" t="s">
        <v>43</v>
      </c>
      <c r="C129" s="8">
        <v>1</v>
      </c>
      <c r="D129" s="52"/>
      <c r="E129" s="52"/>
      <c r="F129" s="8">
        <v>1</v>
      </c>
      <c r="G129" s="52"/>
      <c r="H129" s="52"/>
      <c r="I129" s="52"/>
      <c r="J129" s="52"/>
      <c r="K129" s="8">
        <v>1</v>
      </c>
      <c r="L129" s="8">
        <v>1</v>
      </c>
      <c r="M129" s="8">
        <v>1</v>
      </c>
      <c r="N129" s="8">
        <v>1</v>
      </c>
      <c r="O129" s="52"/>
      <c r="P129" s="52"/>
      <c r="R129" s="8">
        <v>1</v>
      </c>
      <c r="S129" s="52"/>
    </row>
    <row r="130" spans="2:19">
      <c r="B130" s="29" t="s">
        <v>44</v>
      </c>
      <c r="C130" s="8">
        <v>1</v>
      </c>
      <c r="D130" s="52"/>
      <c r="E130" s="52"/>
      <c r="F130" s="8">
        <v>1</v>
      </c>
      <c r="G130" s="52"/>
      <c r="H130" s="52"/>
      <c r="I130" s="52"/>
      <c r="J130" s="52"/>
      <c r="K130" s="8">
        <v>1</v>
      </c>
      <c r="L130" s="8">
        <v>1</v>
      </c>
      <c r="M130" s="8">
        <v>1</v>
      </c>
      <c r="N130" s="8">
        <v>1</v>
      </c>
      <c r="O130" s="52"/>
      <c r="P130" s="52"/>
      <c r="R130" s="8">
        <v>1</v>
      </c>
      <c r="S130" s="52"/>
    </row>
    <row r="131" spans="2:19">
      <c r="B131" s="29" t="s">
        <v>117</v>
      </c>
      <c r="C131" s="8">
        <v>1</v>
      </c>
      <c r="D131" s="52"/>
      <c r="E131" s="52"/>
      <c r="F131" s="8">
        <v>1</v>
      </c>
      <c r="G131" s="52"/>
      <c r="H131" s="52"/>
      <c r="I131" s="52"/>
      <c r="J131" s="52"/>
      <c r="K131" s="8">
        <v>1</v>
      </c>
      <c r="L131" s="8">
        <v>1</v>
      </c>
      <c r="M131" s="8">
        <v>1</v>
      </c>
      <c r="N131" s="8">
        <v>1</v>
      </c>
      <c r="O131" s="52"/>
      <c r="P131" s="52"/>
      <c r="R131" s="8">
        <v>1</v>
      </c>
      <c r="S131" s="52"/>
    </row>
    <row r="132" spans="2:19">
      <c r="B132" s="29" t="s">
        <v>46</v>
      </c>
      <c r="C132" s="8">
        <v>1</v>
      </c>
      <c r="D132" s="52"/>
      <c r="E132" s="52"/>
      <c r="F132" s="8">
        <v>1</v>
      </c>
      <c r="G132" s="52"/>
      <c r="H132" s="52"/>
      <c r="I132" s="52"/>
      <c r="J132" s="52"/>
      <c r="K132" s="8">
        <v>1</v>
      </c>
      <c r="L132" s="8">
        <v>1</v>
      </c>
      <c r="M132" s="8">
        <v>1</v>
      </c>
      <c r="N132" s="8">
        <v>1</v>
      </c>
      <c r="O132" s="52"/>
      <c r="P132" s="52"/>
      <c r="R132" s="8">
        <v>1</v>
      </c>
      <c r="S132" s="52"/>
    </row>
    <row r="133" spans="2:19">
      <c r="B133" s="29" t="s">
        <v>45</v>
      </c>
      <c r="C133" s="8">
        <v>1</v>
      </c>
      <c r="D133" s="52"/>
      <c r="E133" s="52"/>
      <c r="F133" s="8">
        <v>1</v>
      </c>
      <c r="G133" s="52"/>
      <c r="H133" s="52"/>
      <c r="I133" s="52"/>
      <c r="J133" s="52"/>
      <c r="K133" s="8">
        <v>1</v>
      </c>
      <c r="L133" s="8">
        <v>1</v>
      </c>
      <c r="M133" s="8">
        <v>1</v>
      </c>
      <c r="N133" s="8">
        <v>1</v>
      </c>
      <c r="O133" s="52"/>
      <c r="P133" s="52"/>
      <c r="R133" s="8">
        <v>1</v>
      </c>
      <c r="S133" s="52"/>
    </row>
    <row r="134" spans="2:19">
      <c r="B134" s="29" t="s">
        <v>118</v>
      </c>
      <c r="C134" s="60"/>
      <c r="D134" s="52"/>
      <c r="E134" s="52"/>
      <c r="F134" s="8">
        <v>1</v>
      </c>
      <c r="G134" s="8">
        <v>1</v>
      </c>
      <c r="H134" s="8">
        <v>1</v>
      </c>
      <c r="I134" s="8">
        <v>1</v>
      </c>
      <c r="J134" s="8">
        <v>1</v>
      </c>
      <c r="K134" s="8">
        <v>1</v>
      </c>
      <c r="L134" s="8">
        <v>1</v>
      </c>
      <c r="M134" s="8"/>
      <c r="N134" s="8"/>
      <c r="O134" s="52"/>
      <c r="P134" s="52"/>
      <c r="R134" s="8"/>
      <c r="S134" s="52"/>
    </row>
    <row r="135" spans="2:19">
      <c r="B135" s="29" t="s">
        <v>76</v>
      </c>
      <c r="C135" s="52"/>
      <c r="D135" s="52"/>
      <c r="E135" s="52"/>
      <c r="F135" s="8">
        <v>1</v>
      </c>
      <c r="G135" s="8">
        <v>1</v>
      </c>
      <c r="H135" s="8">
        <v>1</v>
      </c>
      <c r="I135" s="8">
        <v>1</v>
      </c>
      <c r="J135" s="8">
        <v>1</v>
      </c>
      <c r="K135" s="8">
        <v>1</v>
      </c>
      <c r="L135" s="8">
        <v>1</v>
      </c>
      <c r="M135" s="52"/>
      <c r="N135" s="52"/>
      <c r="O135" s="52"/>
      <c r="P135" s="52"/>
      <c r="R135" s="52"/>
      <c r="S135" s="52"/>
    </row>
    <row r="136" spans="2:19">
      <c r="B136" s="31" t="s">
        <v>77</v>
      </c>
      <c r="C136" s="52"/>
      <c r="D136" s="52"/>
      <c r="E136" s="52"/>
      <c r="F136" s="8">
        <v>1</v>
      </c>
      <c r="G136" s="8">
        <v>1</v>
      </c>
      <c r="H136" s="8">
        <v>1</v>
      </c>
      <c r="I136" s="8">
        <v>1</v>
      </c>
      <c r="J136" s="8">
        <v>1</v>
      </c>
      <c r="K136" s="8">
        <v>1</v>
      </c>
      <c r="L136" s="8">
        <v>1</v>
      </c>
      <c r="M136" s="52"/>
      <c r="N136" s="52"/>
      <c r="O136" s="52"/>
      <c r="P136" s="52"/>
      <c r="R136" s="52"/>
      <c r="S136" s="52"/>
    </row>
    <row r="137" spans="2:19">
      <c r="B137" s="29" t="s">
        <v>75</v>
      </c>
      <c r="C137" s="52"/>
      <c r="D137" s="52"/>
      <c r="E137" s="52"/>
      <c r="F137" s="8">
        <v>1</v>
      </c>
      <c r="G137" s="8">
        <v>1</v>
      </c>
      <c r="H137" s="8">
        <v>1</v>
      </c>
      <c r="I137" s="8">
        <v>1</v>
      </c>
      <c r="J137" s="8">
        <v>1</v>
      </c>
      <c r="K137" s="8">
        <v>1</v>
      </c>
      <c r="L137" s="8">
        <v>1</v>
      </c>
      <c r="M137" s="52"/>
      <c r="N137" s="52"/>
      <c r="O137" s="52"/>
      <c r="P137" s="52"/>
      <c r="R137" s="52"/>
      <c r="S137" s="52"/>
    </row>
    <row r="138" spans="2:19">
      <c r="B138" s="29" t="s">
        <v>119</v>
      </c>
      <c r="C138" s="52"/>
      <c r="D138" s="52"/>
      <c r="E138" s="52"/>
      <c r="F138" s="8">
        <v>1</v>
      </c>
      <c r="G138" s="8">
        <v>1</v>
      </c>
      <c r="H138" s="8">
        <v>1</v>
      </c>
      <c r="I138" s="8">
        <v>1</v>
      </c>
      <c r="J138" s="8">
        <v>1</v>
      </c>
      <c r="K138" s="8">
        <v>1</v>
      </c>
      <c r="L138" s="8">
        <v>1</v>
      </c>
      <c r="M138" s="8">
        <v>1</v>
      </c>
      <c r="N138" s="8">
        <v>1</v>
      </c>
      <c r="O138" s="52"/>
      <c r="P138" s="52"/>
      <c r="R138" s="8">
        <v>1</v>
      </c>
      <c r="S138" s="52"/>
    </row>
    <row r="139" spans="2:19">
      <c r="B139" s="29" t="s">
        <v>120</v>
      </c>
      <c r="C139" s="8">
        <v>1</v>
      </c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R139" s="8">
        <v>1</v>
      </c>
      <c r="S139" s="52"/>
    </row>
    <row r="140" spans="2:19">
      <c r="B140" s="29" t="s">
        <v>121</v>
      </c>
      <c r="C140" s="8">
        <v>1</v>
      </c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R140" s="8">
        <v>1</v>
      </c>
      <c r="S140" s="52"/>
    </row>
    <row r="141" spans="2:19">
      <c r="B141" s="29" t="s">
        <v>80</v>
      </c>
      <c r="C141" s="8">
        <v>1</v>
      </c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R141" s="8">
        <v>1</v>
      </c>
      <c r="S141" s="52"/>
    </row>
    <row r="142" spans="2:19">
      <c r="B142" s="29" t="s">
        <v>81</v>
      </c>
      <c r="C142" s="8">
        <v>1</v>
      </c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R142" s="8">
        <v>1</v>
      </c>
      <c r="S142" s="52"/>
    </row>
    <row r="143" spans="2:19">
      <c r="B143" s="29" t="s">
        <v>82</v>
      </c>
      <c r="C143" s="8">
        <v>1</v>
      </c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R143" s="8">
        <v>1</v>
      </c>
      <c r="S143" s="52"/>
    </row>
    <row r="144" spans="2:19">
      <c r="B144" s="29" t="s">
        <v>79</v>
      </c>
      <c r="C144" s="8">
        <v>1</v>
      </c>
      <c r="D144" s="52"/>
      <c r="E144" s="52"/>
      <c r="F144" s="8">
        <v>1</v>
      </c>
      <c r="G144" s="8">
        <v>1</v>
      </c>
      <c r="H144" s="8">
        <v>1</v>
      </c>
      <c r="I144" s="8">
        <v>1</v>
      </c>
      <c r="J144" s="8">
        <v>1</v>
      </c>
      <c r="K144" s="52"/>
      <c r="L144" s="52"/>
      <c r="M144" s="52"/>
      <c r="N144" s="52"/>
      <c r="O144" s="52"/>
      <c r="P144" s="52"/>
      <c r="R144" s="8">
        <v>1</v>
      </c>
      <c r="S144" s="52"/>
    </row>
    <row r="145" spans="2:19">
      <c r="B145" s="29" t="s">
        <v>122</v>
      </c>
      <c r="C145" s="8">
        <v>1</v>
      </c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R145" s="8">
        <v>1</v>
      </c>
      <c r="S145" s="52"/>
    </row>
    <row r="146" spans="2:19">
      <c r="B146" s="29" t="s">
        <v>123</v>
      </c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R146" s="52"/>
    </row>
    <row r="147" spans="2:19">
      <c r="B147" s="29" t="s">
        <v>83</v>
      </c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R147" s="52"/>
    </row>
    <row r="148" spans="2:19">
      <c r="B148" s="29" t="s">
        <v>84</v>
      </c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R148" s="52"/>
    </row>
    <row r="149" spans="2:19">
      <c r="B149" s="29" t="s">
        <v>85</v>
      </c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R149" s="52"/>
    </row>
    <row r="150" spans="2:19">
      <c r="B150" s="29" t="s">
        <v>86</v>
      </c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R150" s="52"/>
    </row>
    <row r="151" spans="2:19">
      <c r="B151" s="29" t="s">
        <v>87</v>
      </c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R151" s="52"/>
    </row>
    <row r="152" spans="2:19">
      <c r="B152" s="29" t="s">
        <v>88</v>
      </c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R152" s="52"/>
    </row>
  </sheetData>
  <conditionalFormatting sqref="L1:N1">
    <cfRule type="cellIs" dxfId="12" priority="1" stopIfTrue="1" operator="equal">
      <formula>"NULL"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4"/>
  <dimension ref="A1:I156"/>
  <sheetViews>
    <sheetView workbookViewId="0">
      <selection activeCell="O7" sqref="O7"/>
    </sheetView>
  </sheetViews>
  <sheetFormatPr baseColWidth="10" defaultRowHeight="16"/>
  <cols>
    <col min="1" max="20" width="10.83203125" style="53" customWidth="1"/>
    <col min="21" max="16384" width="10.83203125" style="53"/>
  </cols>
  <sheetData>
    <row r="1" spans="1:9">
      <c r="A1" t="s">
        <v>141</v>
      </c>
      <c r="B1" t="s">
        <v>142</v>
      </c>
      <c r="C1" t="s">
        <v>143</v>
      </c>
      <c r="D1" t="s">
        <v>144</v>
      </c>
      <c r="E1" t="s">
        <v>145</v>
      </c>
      <c r="F1" s="20" t="s">
        <v>146</v>
      </c>
      <c r="G1" s="21" t="s">
        <v>147</v>
      </c>
      <c r="H1" s="21" t="s">
        <v>148</v>
      </c>
      <c r="I1" t="s">
        <v>149</v>
      </c>
    </row>
    <row r="2" spans="1:9" ht="17" customHeight="1">
      <c r="C2" t="s">
        <v>150</v>
      </c>
      <c r="D2" t="s">
        <v>135</v>
      </c>
      <c r="E2" s="26" t="s">
        <v>82</v>
      </c>
      <c r="F2">
        <v>5.9082732493721E-2</v>
      </c>
      <c r="G2" s="39">
        <v>0.1</v>
      </c>
      <c r="H2" s="39"/>
      <c r="I2">
        <f>param!$E$56*param!$B$56*0.029*0.06/1000</f>
        <v>5.9082732493721E-2</v>
      </c>
    </row>
    <row r="3" spans="1:9" ht="34" customHeight="1">
      <c r="C3" t="s">
        <v>150</v>
      </c>
      <c r="D3" t="s">
        <v>135</v>
      </c>
      <c r="E3" s="26" t="s">
        <v>86</v>
      </c>
      <c r="F3">
        <v>8.1493424129270339E-2</v>
      </c>
      <c r="G3" s="39">
        <v>0.1</v>
      </c>
      <c r="H3" s="39"/>
      <c r="I3">
        <f>param!$E$56*param!$B$56*0.005*0.48/1000</f>
        <v>8.1493424129270339E-2</v>
      </c>
    </row>
    <row r="4" spans="1:9" ht="34" customHeight="1">
      <c r="C4" t="s">
        <v>150</v>
      </c>
      <c r="D4" s="53" t="s">
        <v>135</v>
      </c>
      <c r="E4" s="38" t="s">
        <v>105</v>
      </c>
      <c r="F4">
        <v>16.01145109257369</v>
      </c>
      <c r="G4" s="39">
        <v>0.1</v>
      </c>
      <c r="H4" s="56"/>
      <c r="I4">
        <f>param!B56*param!D56*0.306/1000</f>
        <v>16.01145109257369</v>
      </c>
    </row>
    <row r="5" spans="1:9" ht="34" customHeight="1">
      <c r="C5" t="s">
        <v>150</v>
      </c>
      <c r="D5" s="53" t="s">
        <v>135</v>
      </c>
      <c r="E5" s="40" t="s">
        <v>103</v>
      </c>
      <c r="F5">
        <v>36.31355247792856</v>
      </c>
      <c r="G5" s="39">
        <v>0.1</v>
      </c>
      <c r="I5">
        <f>param!B56*param!D56*0.694/1000</f>
        <v>36.31355247792856</v>
      </c>
    </row>
    <row r="6" spans="1:9" ht="51" customHeight="1">
      <c r="C6" t="s">
        <v>150</v>
      </c>
      <c r="D6" t="s">
        <v>135</v>
      </c>
      <c r="E6" s="26" t="s">
        <v>81</v>
      </c>
      <c r="F6">
        <v>1.0186678016158794E-2</v>
      </c>
      <c r="G6" s="39">
        <v>0.1</v>
      </c>
      <c r="H6" s="39"/>
      <c r="I6">
        <f>param!$E$56*param!$B$56*0.003*0.1/1000</f>
        <v>1.0186678016158794E-2</v>
      </c>
    </row>
    <row r="7" spans="1:9" ht="34" customHeight="1">
      <c r="C7" t="s">
        <v>150</v>
      </c>
      <c r="D7" t="s">
        <v>135</v>
      </c>
      <c r="E7" s="26" t="s">
        <v>88</v>
      </c>
      <c r="F7">
        <v>1.0186678016158794E-2</v>
      </c>
      <c r="G7" s="39">
        <v>0.1</v>
      </c>
      <c r="H7" s="39"/>
      <c r="I7">
        <f>param!$E$56*param!$B$56*0.003*0.1/1000</f>
        <v>1.0186678016158794E-2</v>
      </c>
    </row>
    <row r="8" spans="1:9" ht="34" customHeight="1">
      <c r="C8" t="s">
        <v>150</v>
      </c>
      <c r="D8" t="s">
        <v>135</v>
      </c>
      <c r="E8" s="26" t="s">
        <v>79</v>
      </c>
      <c r="F8">
        <v>3.4012461909014666</v>
      </c>
      <c r="G8" s="39">
        <v>0.1</v>
      </c>
      <c r="H8" s="39"/>
      <c r="I8">
        <f>param!F56*param!B56*0.0094/1000</f>
        <v>3.4012461909014666</v>
      </c>
    </row>
    <row r="9" spans="1:9" ht="34" customHeight="1">
      <c r="C9" t="s">
        <v>150</v>
      </c>
      <c r="D9" s="53" t="s">
        <v>135</v>
      </c>
      <c r="E9" s="26" t="s">
        <v>83</v>
      </c>
      <c r="F9">
        <v>0.28013364544436681</v>
      </c>
      <c r="G9" s="39">
        <v>0.1</v>
      </c>
      <c r="H9" s="39"/>
      <c r="I9">
        <f>param!$E$56*param!$B$56*0.055*0.15/1000</f>
        <v>0.28013364544436681</v>
      </c>
    </row>
    <row r="10" spans="1:9" ht="34" customHeight="1">
      <c r="C10" t="s">
        <v>150</v>
      </c>
      <c r="D10" s="53" t="s">
        <v>135</v>
      </c>
      <c r="E10" s="26" t="s">
        <v>84</v>
      </c>
      <c r="F10">
        <v>0.26892829962659215</v>
      </c>
      <c r="G10" s="39">
        <v>0.1</v>
      </c>
      <c r="H10" s="39"/>
      <c r="I10">
        <f>param!$E$56*param!$B$56*0.0528*0.15/1000</f>
        <v>0.26892829962659215</v>
      </c>
    </row>
    <row r="11" spans="1:9" ht="34" customHeight="1">
      <c r="C11" t="s">
        <v>150</v>
      </c>
      <c r="D11" s="53" t="s">
        <v>135</v>
      </c>
      <c r="E11" s="26" t="s">
        <v>85</v>
      </c>
      <c r="F11">
        <v>6.519473930341628E-2</v>
      </c>
      <c r="G11" s="39">
        <v>0.1</v>
      </c>
      <c r="H11" s="39"/>
      <c r="I11">
        <f>param!$E$56*param!$B$56*0.024*0.08/1000</f>
        <v>6.519473930341628E-2</v>
      </c>
    </row>
    <row r="12" spans="1:9" ht="34" customHeight="1">
      <c r="C12" t="s">
        <v>150</v>
      </c>
      <c r="D12" s="53" t="s">
        <v>135</v>
      </c>
      <c r="E12" s="26" t="s">
        <v>87</v>
      </c>
      <c r="F12">
        <v>0.12224013619390552</v>
      </c>
      <c r="G12" s="39">
        <v>0.1</v>
      </c>
      <c r="H12" s="39"/>
      <c r="I12">
        <f>param!$E$56*param!$B$56*0.06*0.06/1000</f>
        <v>0.12224013619390552</v>
      </c>
    </row>
    <row r="13" spans="1:9" ht="17" customHeight="1">
      <c r="C13" t="s">
        <v>150</v>
      </c>
      <c r="D13" s="53" t="s">
        <v>135</v>
      </c>
      <c r="E13" s="26" t="s">
        <v>80</v>
      </c>
      <c r="F13">
        <v>0.68760076609071863</v>
      </c>
      <c r="G13" s="39">
        <v>0.1</v>
      </c>
      <c r="H13" s="39"/>
      <c r="I13">
        <f>param!$E$56*param!$B$56*0.027*0.75/1000</f>
        <v>0.68760076609071863</v>
      </c>
    </row>
    <row r="14" spans="1:9" ht="17" customHeight="1">
      <c r="C14" t="s">
        <v>151</v>
      </c>
      <c r="D14" s="53" t="s">
        <v>78</v>
      </c>
      <c r="E14" s="38" t="s">
        <v>132</v>
      </c>
      <c r="F14">
        <v>211.74</v>
      </c>
      <c r="G14" s="39">
        <v>0.1</v>
      </c>
      <c r="I14">
        <f>'[1]module corrigé'!I58</f>
        <v>211.74</v>
      </c>
    </row>
    <row r="15" spans="1:9" ht="17" customHeight="1">
      <c r="C15" t="s">
        <v>151</v>
      </c>
      <c r="D15" s="53" t="s">
        <v>78</v>
      </c>
      <c r="E15" s="38" t="s">
        <v>133</v>
      </c>
      <c r="F15">
        <v>94.330000000000013</v>
      </c>
      <c r="G15" s="39">
        <v>0.1</v>
      </c>
      <c r="I15">
        <f>'[1]module corrigé'!N77</f>
        <v>94.330000000000013</v>
      </c>
    </row>
    <row r="16" spans="1:9" ht="34" customHeight="1">
      <c r="C16" t="s">
        <v>151</v>
      </c>
      <c r="D16" t="s">
        <v>78</v>
      </c>
      <c r="E16" s="38" t="s">
        <v>131</v>
      </c>
      <c r="F16">
        <v>123.28</v>
      </c>
      <c r="G16" s="39">
        <v>0.1</v>
      </c>
      <c r="I16">
        <f>'[1]module corrigé'!D57</f>
        <v>123.28</v>
      </c>
    </row>
    <row r="17" spans="3:9" ht="17" customHeight="1">
      <c r="C17" t="s">
        <v>151</v>
      </c>
      <c r="D17" s="38" t="s">
        <v>121</v>
      </c>
      <c r="E17" s="38" t="s">
        <v>127</v>
      </c>
      <c r="F17">
        <v>891.7</v>
      </c>
      <c r="G17" s="39">
        <v>0.1</v>
      </c>
      <c r="H17" s="39"/>
      <c r="I17">
        <f>1000*param!B46*param!B49*param!B51</f>
        <v>891.7</v>
      </c>
    </row>
    <row r="18" spans="3:9" ht="17" customHeight="1">
      <c r="C18" t="s">
        <v>151</v>
      </c>
      <c r="D18" s="27" t="s">
        <v>101</v>
      </c>
      <c r="E18" s="38" t="s">
        <v>128</v>
      </c>
      <c r="F18">
        <v>92.471280659999991</v>
      </c>
      <c r="G18" s="39">
        <v>0.1</v>
      </c>
      <c r="H18" s="39"/>
      <c r="I18">
        <f>1000*(0.094*param!B49*param!B47*param!B46+0.0227*param!B49*(1-param!B47)*param!B46)</f>
        <v>92.471280659999991</v>
      </c>
    </row>
    <row r="19" spans="3:9" ht="17" customHeight="1">
      <c r="C19" t="s">
        <v>151</v>
      </c>
      <c r="D19" s="40" t="s">
        <v>100</v>
      </c>
      <c r="E19" s="38" t="s">
        <v>129</v>
      </c>
      <c r="F19">
        <v>2276.9375287397202</v>
      </c>
      <c r="G19" s="39">
        <v>0.1</v>
      </c>
      <c r="H19" s="39"/>
      <c r="I19">
        <f>10.57*param!B2*(param!B5+param!B4)/1000</f>
        <v>2276.9375287397202</v>
      </c>
    </row>
    <row r="20" spans="3:9" ht="17" customHeight="1">
      <c r="C20" t="s">
        <v>151</v>
      </c>
      <c r="D20" s="40" t="s">
        <v>100</v>
      </c>
      <c r="E20" s="38" t="s">
        <v>128</v>
      </c>
      <c r="F20">
        <v>241.58694126028004</v>
      </c>
      <c r="G20" s="39">
        <v>0.1</v>
      </c>
      <c r="H20" s="39"/>
      <c r="I20">
        <f>10.57*param!B2*param!B3/1000</f>
        <v>241.58694126028004</v>
      </c>
    </row>
    <row r="21" spans="3:9" ht="85" customHeight="1">
      <c r="C21" t="s">
        <v>151</v>
      </c>
      <c r="D21" s="38" t="s">
        <v>105</v>
      </c>
      <c r="E21" s="38" t="s">
        <v>137</v>
      </c>
      <c r="F21">
        <v>1108.7367182005578</v>
      </c>
      <c r="G21" s="39">
        <v>0.1</v>
      </c>
      <c r="H21" s="39"/>
      <c r="I21">
        <f>(('[1]module corrigé'!D71+'[1]module corrigé'!I72+'[1]module corrigé'!N91)*1000*0.546*0.102+param!D55*param!B55*0.452*0.101+param!D56*param!B56*0.306*0.101)/1000</f>
        <v>1108.7367182005578</v>
      </c>
    </row>
    <row r="22" spans="3:9" ht="34" customHeight="1">
      <c r="C22" t="s">
        <v>151</v>
      </c>
      <c r="D22" s="38" t="s">
        <v>105</v>
      </c>
      <c r="E22" s="38" t="s">
        <v>129</v>
      </c>
      <c r="F22">
        <v>7350.9514735501498</v>
      </c>
      <c r="G22" s="39">
        <v>0.1</v>
      </c>
      <c r="H22" s="39"/>
      <c r="I22">
        <f>((('[1]module corrigé'!D71+'[1]module corrigé'!I72+'[1]module corrigé'!N91)*1000*0.546*(1-0.102)+param!D55*param!B55*0.452*(1-0.101)+param!D56*param!B56*0.306*(1-0.101))/1000)*(param!B5/(param!B4+param!B5))</f>
        <v>7350.9514735501498</v>
      </c>
    </row>
    <row r="23" spans="3:9" ht="34" customHeight="1">
      <c r="C23" s="53" t="s">
        <v>151</v>
      </c>
      <c r="D23" s="38" t="s">
        <v>105</v>
      </c>
      <c r="E23" s="38" t="s">
        <v>128</v>
      </c>
      <c r="F23" s="53">
        <v>2413.5234466706593</v>
      </c>
      <c r="G23" s="39">
        <v>0.1</v>
      </c>
      <c r="H23" s="39"/>
      <c r="I23" s="53">
        <f>((('[1]module corrigé'!D71+'[1]module corrigé'!I72+'[1]module corrigé'!N91)*1000*0.546*(1-0.102)+param!D55*param!B55*0.452*(1-0.101)+param!D56*param!B56*0.306*(1-0.101))/1000)*(param!B4/(param!B4+param!B5))</f>
        <v>2413.5234466706593</v>
      </c>
    </row>
    <row r="24" spans="3:9" ht="34" customHeight="1">
      <c r="C24" t="s">
        <v>151</v>
      </c>
      <c r="D24" s="38" t="s">
        <v>98</v>
      </c>
      <c r="E24" s="38" t="s">
        <v>137</v>
      </c>
      <c r="F24">
        <v>126.01967788683898</v>
      </c>
      <c r="G24" s="39">
        <v>0.1</v>
      </c>
      <c r="H24" s="39"/>
      <c r="I24">
        <f>param!B2*((param!B3+param!B4)*param!B61+param!B60*param!B5)*param!C60/1000</f>
        <v>126.01967788683898</v>
      </c>
    </row>
    <row r="25" spans="3:9">
      <c r="C25" t="s">
        <v>151</v>
      </c>
      <c r="D25" s="27" t="s">
        <v>98</v>
      </c>
      <c r="E25" s="38" t="s">
        <v>129</v>
      </c>
      <c r="F25">
        <v>2475.149183367289</v>
      </c>
      <c r="G25" s="39">
        <v>0.1</v>
      </c>
      <c r="H25" s="39"/>
      <c r="I25">
        <f>param!B2*param!B5*param!B60*(1-param!C60)/1000</f>
        <v>2475.149183367289</v>
      </c>
    </row>
    <row r="26" spans="3:9">
      <c r="C26" t="s">
        <v>151</v>
      </c>
      <c r="D26" s="27" t="s">
        <v>98</v>
      </c>
      <c r="E26" s="38" t="s">
        <v>128</v>
      </c>
      <c r="F26">
        <v>1899.5339204186921</v>
      </c>
      <c r="G26" s="39">
        <v>0.1</v>
      </c>
      <c r="H26" s="39"/>
      <c r="I26">
        <f>param!B61*param!B2*(param!B3+param!B4)*(1-param!C61)/1000</f>
        <v>1899.5339204186921</v>
      </c>
    </row>
    <row r="27" spans="3:9">
      <c r="C27" t="s">
        <v>151</v>
      </c>
      <c r="D27" t="s">
        <v>77</v>
      </c>
      <c r="E27" s="38" t="s">
        <v>132</v>
      </c>
      <c r="F27">
        <v>594.87</v>
      </c>
      <c r="G27" s="39">
        <v>0.1</v>
      </c>
      <c r="I27">
        <f>'[1]module corrigé'!I57</f>
        <v>594.87</v>
      </c>
    </row>
    <row r="28" spans="3:9" ht="34" customHeight="1">
      <c r="C28" t="s">
        <v>151</v>
      </c>
      <c r="D28" s="53" t="s">
        <v>77</v>
      </c>
      <c r="E28" s="38" t="s">
        <v>133</v>
      </c>
      <c r="F28">
        <v>272.61</v>
      </c>
      <c r="G28" s="39">
        <v>0.1</v>
      </c>
      <c r="I28">
        <f>'[1]module corrigé'!N76</f>
        <v>272.61</v>
      </c>
    </row>
    <row r="29" spans="3:9">
      <c r="C29" t="s">
        <v>151</v>
      </c>
      <c r="D29" t="s">
        <v>77</v>
      </c>
      <c r="E29" s="38" t="s">
        <v>131</v>
      </c>
      <c r="F29">
        <v>562.81000000000006</v>
      </c>
      <c r="G29" s="39">
        <v>0.1</v>
      </c>
      <c r="I29">
        <f>'[1]module corrigé'!D56</f>
        <v>562.81000000000006</v>
      </c>
    </row>
    <row r="30" spans="3:9">
      <c r="C30" t="s">
        <v>151</v>
      </c>
      <c r="D30" s="53" t="s">
        <v>76</v>
      </c>
      <c r="E30" s="38" t="s">
        <v>132</v>
      </c>
      <c r="F30">
        <v>1470.45</v>
      </c>
      <c r="G30" s="39">
        <v>0.1</v>
      </c>
      <c r="I30">
        <f>'[1]module corrigé'!I56</f>
        <v>1470.45</v>
      </c>
    </row>
    <row r="31" spans="3:9" ht="17" customHeight="1">
      <c r="C31" t="s">
        <v>151</v>
      </c>
      <c r="D31" t="s">
        <v>76</v>
      </c>
      <c r="E31" s="38" t="s">
        <v>133</v>
      </c>
      <c r="F31">
        <v>595.17999999999995</v>
      </c>
      <c r="G31" s="39">
        <v>0.1</v>
      </c>
      <c r="I31">
        <f>'[1]module corrigé'!N75</f>
        <v>595.17999999999995</v>
      </c>
    </row>
    <row r="32" spans="3:9">
      <c r="C32" t="s">
        <v>151</v>
      </c>
      <c r="D32" t="s">
        <v>76</v>
      </c>
      <c r="E32" s="38" t="s">
        <v>131</v>
      </c>
      <c r="F32">
        <v>1117.8899999999999</v>
      </c>
      <c r="G32" s="39">
        <v>0.1</v>
      </c>
      <c r="I32">
        <f>'[1]module corrigé'!D55</f>
        <v>1117.8899999999999</v>
      </c>
    </row>
    <row r="33" spans="3:9">
      <c r="C33" t="s">
        <v>151</v>
      </c>
      <c r="D33" s="38" t="s">
        <v>103</v>
      </c>
      <c r="E33" s="38" t="s">
        <v>137</v>
      </c>
      <c r="F33">
        <v>2119.2835077576947</v>
      </c>
      <c r="G33" s="39">
        <v>0.1</v>
      </c>
      <c r="H33" s="39"/>
      <c r="I33">
        <f>(('[1]module corrigé'!D71+'[1]module corrigé'!I72+'[1]module corrigé'!N91)*0.454*0.827*0.2704)+(param!D55*param!B55*0.548*0.2704+param!D56*param!B56*0.694*0.2704+param!D57*param!B57*0.272*0.24816+param!D58*param!B58*0.1*0.364)/1000</f>
        <v>2119.2835077576947</v>
      </c>
    </row>
    <row r="34" spans="3:9">
      <c r="C34" t="s">
        <v>151</v>
      </c>
      <c r="D34" s="38" t="s">
        <v>103</v>
      </c>
      <c r="E34" s="38" t="s">
        <v>128</v>
      </c>
      <c r="F34">
        <v>6093.4864469499844</v>
      </c>
      <c r="G34" s="39">
        <v>0.1</v>
      </c>
      <c r="H34" s="39"/>
      <c r="I34">
        <f>(('[1]module corrigé'!D71+'[1]module corrigé'!I72+'[1]module corrigé'!N91)*0.454*0.827*(1-0.2704)+('[1]module corrigé'!N92+'[1]module corrigé'!I73+'[1]module corrigé'!D72))+(param!D55*param!B55*0.548*(1-0.2704)+param!D56*param!B56*0.694*(1-0.2704)+param!D57*param!B57*0.272*(1-0.24816)+param!D58*param!B58*0.1*(1-0.364))/1000</f>
        <v>6093.4864469499844</v>
      </c>
    </row>
    <row r="35" spans="3:9" ht="17" customHeight="1">
      <c r="C35" t="s">
        <v>151</v>
      </c>
      <c r="D35" t="s">
        <v>75</v>
      </c>
      <c r="E35" s="38" t="s">
        <v>132</v>
      </c>
      <c r="F35">
        <v>6861.8499999999995</v>
      </c>
      <c r="G35" s="39">
        <v>0.1</v>
      </c>
      <c r="I35">
        <f>'[1]module corrigé'!I55</f>
        <v>6861.8499999999995</v>
      </c>
    </row>
    <row r="36" spans="3:9">
      <c r="C36" t="s">
        <v>151</v>
      </c>
      <c r="D36" t="s">
        <v>75</v>
      </c>
      <c r="E36" s="38" t="s">
        <v>133</v>
      </c>
      <c r="F36">
        <v>2796.29</v>
      </c>
      <c r="G36" s="39">
        <v>0.1</v>
      </c>
      <c r="I36">
        <f>'[1]module corrigé'!N74</f>
        <v>2796.29</v>
      </c>
    </row>
    <row r="37" spans="3:9" ht="17" customHeight="1">
      <c r="C37" t="s">
        <v>151</v>
      </c>
      <c r="D37" t="s">
        <v>75</v>
      </c>
      <c r="E37" s="38" t="s">
        <v>131</v>
      </c>
      <c r="F37">
        <v>6054.7599999999993</v>
      </c>
      <c r="G37" s="39">
        <v>0.1</v>
      </c>
      <c r="I37">
        <f>'[1]module corrigé'!D54</f>
        <v>6054.7599999999993</v>
      </c>
    </row>
    <row r="38" spans="3:9" ht="34" customHeight="1">
      <c r="C38" t="s">
        <v>151</v>
      </c>
      <c r="D38" t="s">
        <v>79</v>
      </c>
      <c r="E38" s="38" t="s">
        <v>132</v>
      </c>
      <c r="F38">
        <v>536.46</v>
      </c>
      <c r="G38" s="39">
        <v>0.1</v>
      </c>
      <c r="I38">
        <f>'[1]module corrigé'!I59</f>
        <v>536.46</v>
      </c>
    </row>
    <row r="39" spans="3:9">
      <c r="C39" t="s">
        <v>151</v>
      </c>
      <c r="D39" t="s">
        <v>79</v>
      </c>
      <c r="E39" s="38" t="s">
        <v>133</v>
      </c>
      <c r="F39">
        <v>191.55</v>
      </c>
      <c r="G39" s="39">
        <v>0.1</v>
      </c>
      <c r="I39">
        <f>'[1]module corrigé'!N78</f>
        <v>191.55</v>
      </c>
    </row>
    <row r="40" spans="3:9">
      <c r="C40" t="s">
        <v>151</v>
      </c>
      <c r="D40" t="s">
        <v>79</v>
      </c>
      <c r="E40" s="38" t="s">
        <v>131</v>
      </c>
      <c r="F40">
        <v>511.89</v>
      </c>
      <c r="G40" s="39">
        <v>0.1</v>
      </c>
      <c r="I40">
        <f>'[1]module corrigé'!D58</f>
        <v>511.89</v>
      </c>
    </row>
    <row r="41" spans="3:9">
      <c r="C41" t="s">
        <v>151</v>
      </c>
      <c r="D41" s="38" t="s">
        <v>104</v>
      </c>
      <c r="E41" s="38" t="s">
        <v>137</v>
      </c>
      <c r="F41">
        <v>671.79227917700075</v>
      </c>
      <c r="G41" s="39">
        <v>0.1</v>
      </c>
      <c r="H41" s="39"/>
      <c r="I41">
        <f>(('[1]module corrigé'!D71+'[1]module corrigé'!I72+'[1]module corrigé'!N91)*1000*0.454*0.173*0.2781+param!D57*param!B57*0.728*0.2754+param!D58*param!B58*0.9*0.3605)/1000</f>
        <v>671.79227917700075</v>
      </c>
    </row>
    <row r="42" spans="3:9" ht="17" customHeight="1">
      <c r="C42" t="s">
        <v>151</v>
      </c>
      <c r="D42" s="38" t="s">
        <v>104</v>
      </c>
      <c r="E42" s="38" t="s">
        <v>128</v>
      </c>
      <c r="F42">
        <v>1606.8303179172005</v>
      </c>
      <c r="G42" s="39">
        <v>0.1</v>
      </c>
      <c r="H42" s="39"/>
      <c r="I42">
        <f>(('[1]module corrigé'!D71+'[1]module corrigé'!I72+'[1]module corrigé'!N91)*1000*0.454*0.173*(1-0.2781)+param!D57*param!B57*0.728*(1-0.2754)+param!D58*param!B58*0.9*(1-0.3605))/1000</f>
        <v>1606.8303179172005</v>
      </c>
    </row>
    <row r="43" spans="3:9" ht="17" customHeight="1">
      <c r="C43" t="s">
        <v>150</v>
      </c>
      <c r="D43" t="s">
        <v>132</v>
      </c>
      <c r="E43" s="40" t="s">
        <v>82</v>
      </c>
      <c r="F43">
        <v>23.55</v>
      </c>
      <c r="G43" s="39">
        <v>0.1</v>
      </c>
      <c r="I43">
        <f>'[1]module corrigé'!I64</f>
        <v>23.55</v>
      </c>
    </row>
    <row r="44" spans="3:9" ht="34" customHeight="1">
      <c r="C44" t="s">
        <v>150</v>
      </c>
      <c r="D44" s="53" t="s">
        <v>132</v>
      </c>
      <c r="E44" s="40" t="s">
        <v>86</v>
      </c>
      <c r="F44">
        <v>33.69</v>
      </c>
      <c r="G44" s="39">
        <v>0.1</v>
      </c>
      <c r="I44">
        <f>'[1]module corrigé'!I68</f>
        <v>33.69</v>
      </c>
    </row>
    <row r="45" spans="3:9" ht="17" customHeight="1">
      <c r="C45" t="s">
        <v>150</v>
      </c>
      <c r="D45" t="s">
        <v>132</v>
      </c>
      <c r="E45" s="40" t="s">
        <v>105</v>
      </c>
      <c r="F45">
        <v>4604.9039400000001</v>
      </c>
      <c r="G45" s="39">
        <v>0.1</v>
      </c>
      <c r="I45">
        <f>'[1]module corrigé'!I72*0.546</f>
        <v>4604.9039400000001</v>
      </c>
    </row>
    <row r="46" spans="3:9" ht="17" customHeight="1">
      <c r="C46" t="s">
        <v>150</v>
      </c>
      <c r="D46" t="s">
        <v>132</v>
      </c>
      <c r="E46" s="40" t="s">
        <v>103</v>
      </c>
      <c r="F46">
        <v>3325.2314716199994</v>
      </c>
      <c r="G46" s="39">
        <v>0.1</v>
      </c>
      <c r="I46">
        <f>'[1]module corrigé'!I72*0.454*0.827+'[1]module corrigé'!I73</f>
        <v>3325.2314716199994</v>
      </c>
    </row>
    <row r="47" spans="3:9">
      <c r="C47" t="s">
        <v>150</v>
      </c>
      <c r="D47" t="s">
        <v>132</v>
      </c>
      <c r="E47" s="40" t="s">
        <v>81</v>
      </c>
      <c r="F47">
        <v>4.04</v>
      </c>
      <c r="G47" s="39">
        <v>0.1</v>
      </c>
      <c r="I47">
        <f>'[1]module corrigé'!I63</f>
        <v>4.04</v>
      </c>
    </row>
    <row r="48" spans="3:9">
      <c r="C48" t="s">
        <v>150</v>
      </c>
      <c r="D48" t="s">
        <v>132</v>
      </c>
      <c r="E48" s="40" t="s">
        <v>88</v>
      </c>
      <c r="F48">
        <v>4.04</v>
      </c>
      <c r="G48" s="39">
        <v>0.1</v>
      </c>
      <c r="I48">
        <f>'[1]module corrigé'!I70</f>
        <v>4.04</v>
      </c>
    </row>
    <row r="49" spans="3:9" ht="17" customHeight="1">
      <c r="C49" t="s">
        <v>150</v>
      </c>
      <c r="D49" t="s">
        <v>132</v>
      </c>
      <c r="E49" s="53" t="s">
        <v>79</v>
      </c>
      <c r="F49">
        <v>536.46</v>
      </c>
      <c r="G49" s="39">
        <v>0.1</v>
      </c>
      <c r="I49">
        <f>'[1]module corrigé'!I61</f>
        <v>536.46</v>
      </c>
    </row>
    <row r="50" spans="3:9" ht="34" customHeight="1">
      <c r="C50" t="s">
        <v>150</v>
      </c>
      <c r="D50" t="s">
        <v>132</v>
      </c>
      <c r="E50" s="40" t="s">
        <v>104</v>
      </c>
      <c r="F50">
        <v>662.41458837999994</v>
      </c>
      <c r="G50" s="39">
        <v>0.1</v>
      </c>
      <c r="I50">
        <f>'[1]module corrigé'!I72*0.454*0.173</f>
        <v>662.41458837999994</v>
      </c>
    </row>
    <row r="51" spans="3:9" ht="17" customHeight="1">
      <c r="C51" t="s">
        <v>150</v>
      </c>
      <c r="D51" t="s">
        <v>132</v>
      </c>
      <c r="E51" s="40" t="s">
        <v>83</v>
      </c>
      <c r="F51">
        <v>147.88999999999999</v>
      </c>
      <c r="G51" s="39">
        <v>0.1</v>
      </c>
      <c r="I51">
        <f>'[1]module corrigé'!I65</f>
        <v>147.88999999999999</v>
      </c>
    </row>
    <row r="52" spans="3:9" ht="34" customHeight="1">
      <c r="C52" t="s">
        <v>150</v>
      </c>
      <c r="D52" t="s">
        <v>132</v>
      </c>
      <c r="E52" s="40" t="s">
        <v>84</v>
      </c>
      <c r="F52">
        <v>113.88</v>
      </c>
      <c r="G52" s="39">
        <v>0.1</v>
      </c>
      <c r="I52">
        <f>'[1]module corrigé'!I66</f>
        <v>113.88</v>
      </c>
    </row>
    <row r="53" spans="3:9" ht="17" customHeight="1">
      <c r="C53" t="s">
        <v>150</v>
      </c>
      <c r="D53" s="53" t="s">
        <v>132</v>
      </c>
      <c r="E53" s="40" t="s">
        <v>85</v>
      </c>
      <c r="F53">
        <v>25.880000000000003</v>
      </c>
      <c r="G53" s="39">
        <v>0.1</v>
      </c>
      <c r="I53">
        <f>'[1]module corrigé'!I67</f>
        <v>25.880000000000003</v>
      </c>
    </row>
    <row r="54" spans="3:9">
      <c r="C54" t="s">
        <v>150</v>
      </c>
      <c r="D54" t="s">
        <v>132</v>
      </c>
      <c r="E54" s="40" t="s">
        <v>87</v>
      </c>
      <c r="F54">
        <v>48.74</v>
      </c>
      <c r="G54" s="39">
        <v>0.1</v>
      </c>
      <c r="I54">
        <f>'[1]module corrigé'!I69</f>
        <v>48.74</v>
      </c>
    </row>
    <row r="55" spans="3:9" ht="34" customHeight="1">
      <c r="C55" t="s">
        <v>150</v>
      </c>
      <c r="D55" t="s">
        <v>132</v>
      </c>
      <c r="E55" s="40" t="s">
        <v>80</v>
      </c>
      <c r="F55">
        <v>303.33000000000004</v>
      </c>
      <c r="G55" s="39">
        <v>0.1</v>
      </c>
      <c r="I55">
        <f>'[1]module corrigé'!I62</f>
        <v>303.33000000000004</v>
      </c>
    </row>
    <row r="56" spans="3:9" ht="34" customHeight="1">
      <c r="C56" t="s">
        <v>150</v>
      </c>
      <c r="D56" t="s">
        <v>133</v>
      </c>
      <c r="E56" s="40" t="s">
        <v>82</v>
      </c>
      <c r="F56">
        <v>7.6899999999999995</v>
      </c>
      <c r="G56" s="39">
        <v>0.1</v>
      </c>
      <c r="I56">
        <f>'[1]module corrigé'!N83</f>
        <v>7.6899999999999995</v>
      </c>
    </row>
    <row r="57" spans="3:9" ht="34" customHeight="1">
      <c r="C57" t="s">
        <v>150</v>
      </c>
      <c r="D57" t="s">
        <v>133</v>
      </c>
      <c r="E57" s="40" t="s">
        <v>86</v>
      </c>
      <c r="F57">
        <v>10.99</v>
      </c>
      <c r="G57" s="39">
        <v>0.1</v>
      </c>
      <c r="I57">
        <f>'[1]module corrigé'!N87</f>
        <v>10.99</v>
      </c>
    </row>
    <row r="58" spans="3:9" ht="34" customHeight="1">
      <c r="C58" t="s">
        <v>150</v>
      </c>
      <c r="D58" t="s">
        <v>133</v>
      </c>
      <c r="E58" s="40" t="s">
        <v>105</v>
      </c>
      <c r="F58">
        <v>1926.5227800000002</v>
      </c>
      <c r="G58" s="39">
        <v>0.1</v>
      </c>
      <c r="I58">
        <f>'[1]module corrigé'!N91*0.546</f>
        <v>1926.5227800000002</v>
      </c>
    </row>
    <row r="59" spans="3:9" ht="51" customHeight="1">
      <c r="C59" t="s">
        <v>150</v>
      </c>
      <c r="D59" t="s">
        <v>133</v>
      </c>
      <c r="E59" s="40" t="s">
        <v>103</v>
      </c>
      <c r="F59">
        <v>1388.85727094</v>
      </c>
      <c r="G59" s="39">
        <v>0.1</v>
      </c>
      <c r="I59">
        <f>'[1]module corrigé'!N91*0.454*0.827+'[1]module corrigé'!N92</f>
        <v>1388.85727094</v>
      </c>
    </row>
    <row r="60" spans="3:9" ht="34" customHeight="1">
      <c r="C60" t="s">
        <v>150</v>
      </c>
      <c r="D60" t="s">
        <v>133</v>
      </c>
      <c r="E60" s="40" t="s">
        <v>81</v>
      </c>
      <c r="F60">
        <v>1.32</v>
      </c>
      <c r="G60" s="39">
        <v>0.1</v>
      </c>
      <c r="I60">
        <f>'[1]module corrigé'!N82</f>
        <v>1.32</v>
      </c>
    </row>
    <row r="61" spans="3:9" ht="34" customHeight="1">
      <c r="C61" t="s">
        <v>150</v>
      </c>
      <c r="D61" t="s">
        <v>133</v>
      </c>
      <c r="E61" s="40" t="s">
        <v>88</v>
      </c>
      <c r="F61">
        <v>1.32</v>
      </c>
      <c r="G61" s="39">
        <v>0.1</v>
      </c>
      <c r="I61">
        <f>'[1]module corrigé'!N89</f>
        <v>1.32</v>
      </c>
    </row>
    <row r="62" spans="3:9" ht="34" customHeight="1">
      <c r="C62" t="s">
        <v>150</v>
      </c>
      <c r="D62" s="53" t="s">
        <v>133</v>
      </c>
      <c r="E62" s="53" t="s">
        <v>79</v>
      </c>
      <c r="F62">
        <v>191.55</v>
      </c>
      <c r="G62" s="39">
        <v>0.1</v>
      </c>
      <c r="I62">
        <f>'[1]module corrigé'!N80</f>
        <v>191.55</v>
      </c>
    </row>
    <row r="63" spans="3:9" ht="34" customHeight="1">
      <c r="C63" t="s">
        <v>150</v>
      </c>
      <c r="D63" t="s">
        <v>133</v>
      </c>
      <c r="E63" s="40" t="s">
        <v>104</v>
      </c>
      <c r="F63">
        <v>277.12994906</v>
      </c>
      <c r="G63" s="39">
        <v>0.1</v>
      </c>
      <c r="I63">
        <f>'[1]module corrigé'!N91*0.454*0.173</f>
        <v>277.12994906</v>
      </c>
    </row>
    <row r="64" spans="3:9" ht="17" customHeight="1">
      <c r="C64" t="s">
        <v>150</v>
      </c>
      <c r="D64" t="s">
        <v>133</v>
      </c>
      <c r="E64" s="40" t="s">
        <v>83</v>
      </c>
      <c r="F64">
        <v>48.24</v>
      </c>
      <c r="G64" s="39">
        <v>0.1</v>
      </c>
      <c r="I64">
        <f>'[1]module corrigé'!N84</f>
        <v>48.24</v>
      </c>
    </row>
    <row r="65" spans="3:9" ht="17" customHeight="1">
      <c r="C65" t="s">
        <v>150</v>
      </c>
      <c r="D65" t="s">
        <v>133</v>
      </c>
      <c r="E65" s="40" t="s">
        <v>84</v>
      </c>
      <c r="F65">
        <v>37.150000000000006</v>
      </c>
      <c r="G65" s="39">
        <v>0.1</v>
      </c>
      <c r="I65">
        <f>'[1]module corrigé'!N85</f>
        <v>37.150000000000006</v>
      </c>
    </row>
    <row r="66" spans="3:9" ht="17" customHeight="1">
      <c r="C66" t="s">
        <v>150</v>
      </c>
      <c r="D66" t="s">
        <v>133</v>
      </c>
      <c r="E66" s="40" t="s">
        <v>85</v>
      </c>
      <c r="F66">
        <v>8.44</v>
      </c>
      <c r="G66" s="39">
        <v>0.1</v>
      </c>
      <c r="I66">
        <f>'[1]module corrigé'!N86</f>
        <v>8.44</v>
      </c>
    </row>
    <row r="67" spans="3:9" ht="17" customHeight="1">
      <c r="C67" t="s">
        <v>150</v>
      </c>
      <c r="D67" t="s">
        <v>133</v>
      </c>
      <c r="E67" s="40" t="s">
        <v>87</v>
      </c>
      <c r="F67">
        <v>15.89</v>
      </c>
      <c r="G67" s="39">
        <v>0.1</v>
      </c>
      <c r="I67">
        <f>'[1]module corrigé'!N88</f>
        <v>15.89</v>
      </c>
    </row>
    <row r="68" spans="3:9">
      <c r="C68" t="s">
        <v>150</v>
      </c>
      <c r="D68" t="s">
        <v>133</v>
      </c>
      <c r="E68" s="40" t="s">
        <v>80</v>
      </c>
      <c r="F68">
        <v>98.95</v>
      </c>
      <c r="G68" s="39">
        <v>0.1</v>
      </c>
      <c r="I68">
        <f>'[1]module corrigé'!N81</f>
        <v>98.95</v>
      </c>
    </row>
    <row r="69" spans="3:9">
      <c r="C69" t="s">
        <v>150</v>
      </c>
      <c r="D69" t="s">
        <v>134</v>
      </c>
      <c r="E69" s="26" t="s">
        <v>82</v>
      </c>
      <c r="F69">
        <v>1.645475316761094</v>
      </c>
      <c r="G69" s="39">
        <v>0.1</v>
      </c>
      <c r="H69" s="39"/>
      <c r="I69">
        <f>param!$E$55*param!$B$55*0.029*0.06/1000</f>
        <v>1.645475316761094</v>
      </c>
    </row>
    <row r="70" spans="3:9">
      <c r="C70" t="s">
        <v>150</v>
      </c>
      <c r="D70" t="s">
        <v>134</v>
      </c>
      <c r="E70" s="26" t="s">
        <v>86</v>
      </c>
      <c r="F70">
        <v>2.269621126567027</v>
      </c>
      <c r="G70" s="39">
        <v>0.1</v>
      </c>
      <c r="H70" s="39"/>
      <c r="I70">
        <f>param!$E$55*param!$B$55*0.005*0.48/1000</f>
        <v>2.269621126567027</v>
      </c>
    </row>
    <row r="71" spans="3:9">
      <c r="C71" t="s">
        <v>150</v>
      </c>
      <c r="D71" t="s">
        <v>134</v>
      </c>
      <c r="E71" s="38" t="s">
        <v>105</v>
      </c>
      <c r="F71">
        <v>314.85746732879096</v>
      </c>
      <c r="G71" s="39">
        <v>0.1</v>
      </c>
      <c r="H71" s="39"/>
      <c r="I71">
        <f>param!B55*param!D55*0.452/1000</f>
        <v>314.85746732879096</v>
      </c>
    </row>
    <row r="72" spans="3:9">
      <c r="C72" t="s">
        <v>150</v>
      </c>
      <c r="D72" t="s">
        <v>134</v>
      </c>
      <c r="E72" s="40" t="s">
        <v>103</v>
      </c>
      <c r="F72">
        <v>381.72984977030416</v>
      </c>
      <c r="G72" s="39">
        <v>0.1</v>
      </c>
      <c r="I72">
        <f>param!B55*param!D55*0.548/1000</f>
        <v>381.72984977030416</v>
      </c>
    </row>
    <row r="73" spans="3:9">
      <c r="C73" t="s">
        <v>150</v>
      </c>
      <c r="D73" t="s">
        <v>134</v>
      </c>
      <c r="E73" s="26" t="s">
        <v>81</v>
      </c>
      <c r="F73">
        <v>0.28370264082087826</v>
      </c>
      <c r="G73" s="39">
        <v>0.1</v>
      </c>
      <c r="H73" s="39"/>
      <c r="I73">
        <f>param!$E$55*param!$B$55*0.003*0.1/1000</f>
        <v>0.28370264082087826</v>
      </c>
    </row>
    <row r="74" spans="3:9">
      <c r="C74" t="s">
        <v>150</v>
      </c>
      <c r="D74" t="s">
        <v>134</v>
      </c>
      <c r="E74" s="26" t="s">
        <v>88</v>
      </c>
      <c r="F74">
        <v>0.28370264082087826</v>
      </c>
      <c r="G74" s="39">
        <v>0.1</v>
      </c>
      <c r="H74" s="39"/>
      <c r="I74">
        <f>param!$E$55*param!$B$55*0.003*0.1/1000</f>
        <v>0.28370264082087826</v>
      </c>
    </row>
    <row r="75" spans="3:9">
      <c r="C75" t="s">
        <v>150</v>
      </c>
      <c r="D75" t="s">
        <v>134</v>
      </c>
      <c r="E75" s="26" t="s">
        <v>79</v>
      </c>
      <c r="F75">
        <v>49.442505604323749</v>
      </c>
      <c r="G75" s="39">
        <v>0.1</v>
      </c>
      <c r="H75" s="39"/>
      <c r="I75">
        <f>param!F55*param!B55*0.0094/1000</f>
        <v>49.442505604323749</v>
      </c>
    </row>
    <row r="76" spans="3:9">
      <c r="C76" t="s">
        <v>150</v>
      </c>
      <c r="D76" t="s">
        <v>134</v>
      </c>
      <c r="E76" s="26" t="s">
        <v>83</v>
      </c>
      <c r="F76">
        <v>7.8018226225741536</v>
      </c>
      <c r="G76" s="39">
        <v>0.1</v>
      </c>
      <c r="H76" s="39"/>
      <c r="I76">
        <f>param!$E$55*param!$B$55*0.055*0.15/1000</f>
        <v>7.8018226225741536</v>
      </c>
    </row>
    <row r="77" spans="3:9">
      <c r="C77" t="s">
        <v>150</v>
      </c>
      <c r="D77" t="s">
        <v>134</v>
      </c>
      <c r="E77" s="26" t="s">
        <v>84</v>
      </c>
      <c r="F77">
        <v>7.4897497176711871</v>
      </c>
      <c r="G77" s="39">
        <v>0.1</v>
      </c>
      <c r="H77" s="39"/>
      <c r="I77">
        <f>param!$E$55*param!$B$55*0.0528*0.15/1000</f>
        <v>7.4897497176711871</v>
      </c>
    </row>
    <row r="78" spans="3:9">
      <c r="C78" t="s">
        <v>150</v>
      </c>
      <c r="D78" t="s">
        <v>134</v>
      </c>
      <c r="E78" s="26" t="s">
        <v>85</v>
      </c>
      <c r="F78">
        <v>1.815696901253621</v>
      </c>
      <c r="G78" s="39">
        <v>0.1</v>
      </c>
      <c r="H78" s="39"/>
      <c r="I78">
        <f>param!$E$55*param!$B$55*0.024*0.08/1000</f>
        <v>1.815696901253621</v>
      </c>
    </row>
    <row r="79" spans="3:9">
      <c r="C79" t="s">
        <v>150</v>
      </c>
      <c r="D79" t="s">
        <v>134</v>
      </c>
      <c r="E79" s="26" t="s">
        <v>87</v>
      </c>
      <c r="F79">
        <v>3.4044316898505396</v>
      </c>
      <c r="G79" s="39">
        <v>0.1</v>
      </c>
      <c r="H79" s="39"/>
      <c r="I79">
        <f>param!$E$55*param!$B$55*0.06*0.06/1000</f>
        <v>3.4044316898505396</v>
      </c>
    </row>
    <row r="80" spans="3:9" ht="34" customHeight="1">
      <c r="C80" t="s">
        <v>150</v>
      </c>
      <c r="D80" t="s">
        <v>134</v>
      </c>
      <c r="E80" s="26" t="s">
        <v>80</v>
      </c>
      <c r="F80">
        <v>19.149928255409286</v>
      </c>
      <c r="G80" s="39">
        <v>0.1</v>
      </c>
      <c r="H80" s="39"/>
      <c r="I80">
        <f>param!$E$55*param!$B$55*0.027*0.75/1000</f>
        <v>19.149928255409286</v>
      </c>
    </row>
    <row r="81" spans="3:9" ht="51" customHeight="1">
      <c r="C81" t="s">
        <v>151</v>
      </c>
      <c r="D81" t="s">
        <v>20</v>
      </c>
      <c r="E81" s="38" t="s">
        <v>132</v>
      </c>
      <c r="F81">
        <v>158.66</v>
      </c>
      <c r="G81" s="39">
        <v>0.1</v>
      </c>
      <c r="I81">
        <f>'[1]module corrigé'!I73</f>
        <v>158.66</v>
      </c>
    </row>
    <row r="82" spans="3:9" ht="34" customHeight="1">
      <c r="C82" t="s">
        <v>151</v>
      </c>
      <c r="D82" t="s">
        <v>20</v>
      </c>
      <c r="E82" s="38" t="s">
        <v>133</v>
      </c>
      <c r="F82">
        <v>64.08</v>
      </c>
      <c r="G82" s="39">
        <v>0.1</v>
      </c>
      <c r="I82">
        <f>'[1]module corrigé'!N92</f>
        <v>64.08</v>
      </c>
    </row>
    <row r="83" spans="3:9">
      <c r="C83" t="s">
        <v>151</v>
      </c>
      <c r="D83" t="s">
        <v>20</v>
      </c>
      <c r="E83" s="38" t="s">
        <v>131</v>
      </c>
      <c r="F83">
        <v>161.68</v>
      </c>
      <c r="G83" s="39">
        <v>0.1</v>
      </c>
      <c r="I83">
        <f>'[1]module corrigé'!D72</f>
        <v>161.68</v>
      </c>
    </row>
    <row r="84" spans="3:9">
      <c r="C84" t="s">
        <v>150</v>
      </c>
      <c r="D84" t="s">
        <v>136</v>
      </c>
      <c r="E84" s="26" t="s">
        <v>82</v>
      </c>
      <c r="F84">
        <v>7.5776914869744818</v>
      </c>
      <c r="G84" s="39">
        <v>0.1</v>
      </c>
      <c r="H84" s="39"/>
      <c r="I84">
        <f>param!$E$57*param!$B$57*0.029*0.036/1000</f>
        <v>7.5776914869744818</v>
      </c>
    </row>
    <row r="85" spans="3:9">
      <c r="C85" t="s">
        <v>150</v>
      </c>
      <c r="D85" t="s">
        <v>136</v>
      </c>
      <c r="E85" s="26" t="s">
        <v>86</v>
      </c>
      <c r="F85">
        <v>5.1897025030524464</v>
      </c>
      <c r="G85" s="39">
        <v>0.1</v>
      </c>
      <c r="H85" s="39"/>
      <c r="I85">
        <f>param!$E$57*param!$B$57*0.005*0.143/1000</f>
        <v>5.1897025030524464</v>
      </c>
    </row>
    <row r="86" spans="3:9" ht="51" customHeight="1">
      <c r="C86" t="s">
        <v>150</v>
      </c>
      <c r="D86" t="s">
        <v>136</v>
      </c>
      <c r="E86" s="40" t="s">
        <v>103</v>
      </c>
      <c r="F86">
        <v>108.4017333999425</v>
      </c>
      <c r="G86" s="39">
        <v>0.1</v>
      </c>
      <c r="I86">
        <f>param!B57*param!D57*0.272/1000</f>
        <v>108.4017333999425</v>
      </c>
    </row>
    <row r="87" spans="3:9">
      <c r="C87" t="s">
        <v>150</v>
      </c>
      <c r="D87" t="s">
        <v>136</v>
      </c>
      <c r="E87" s="26" t="s">
        <v>81</v>
      </c>
      <c r="F87">
        <v>3.810620719024524</v>
      </c>
      <c r="G87" s="39">
        <v>0.1</v>
      </c>
      <c r="H87" s="39"/>
      <c r="I87">
        <f>param!$E$57*param!$B$57*0.0075*0.07/1000</f>
        <v>3.810620719024524</v>
      </c>
    </row>
    <row r="88" spans="3:9" ht="17" customHeight="1">
      <c r="C88" t="s">
        <v>150</v>
      </c>
      <c r="D88" t="s">
        <v>136</v>
      </c>
      <c r="E88" s="26" t="s">
        <v>88</v>
      </c>
      <c r="F88">
        <v>2.3952473091011295</v>
      </c>
      <c r="G88" s="39">
        <v>0.1</v>
      </c>
      <c r="H88" s="39"/>
      <c r="I88">
        <f>param!$E$57*param!$B$57*0.0075*0.044/1000</f>
        <v>2.3952473091011295</v>
      </c>
    </row>
    <row r="89" spans="3:9" ht="17" customHeight="1">
      <c r="C89" t="s">
        <v>150</v>
      </c>
      <c r="D89" t="s">
        <v>136</v>
      </c>
      <c r="E89" s="40" t="s">
        <v>104</v>
      </c>
      <c r="F89">
        <v>290.13405115866959</v>
      </c>
      <c r="G89" s="39">
        <v>0.1</v>
      </c>
      <c r="I89">
        <f>param!B57*param!D57*0.728/1000</f>
        <v>290.13405115866959</v>
      </c>
    </row>
    <row r="90" spans="3:9" ht="17" customHeight="1">
      <c r="C90" t="s">
        <v>150</v>
      </c>
      <c r="D90" t="s">
        <v>136</v>
      </c>
      <c r="E90" s="26" t="s">
        <v>83</v>
      </c>
      <c r="F90">
        <v>55.889103879026358</v>
      </c>
      <c r="G90" s="39">
        <v>0.1</v>
      </c>
      <c r="H90" s="39"/>
      <c r="I90">
        <f>param!$E$57*param!$B$57*0.055*0.14/1000</f>
        <v>55.889103879026358</v>
      </c>
    </row>
    <row r="91" spans="3:9" ht="17" customHeight="1">
      <c r="C91" t="s">
        <v>150</v>
      </c>
      <c r="D91" t="s">
        <v>136</v>
      </c>
      <c r="E91" s="26" t="s">
        <v>84</v>
      </c>
      <c r="F91">
        <v>43.689310918004601</v>
      </c>
      <c r="G91" s="39">
        <v>0.1</v>
      </c>
      <c r="H91" s="39"/>
      <c r="I91">
        <f>param!$E$57*param!$B$57*0.0528*0.114/1000</f>
        <v>43.689310918004601</v>
      </c>
    </row>
    <row r="92" spans="3:9" ht="17" customHeight="1">
      <c r="C92" t="s">
        <v>150</v>
      </c>
      <c r="D92" t="s">
        <v>136</v>
      </c>
      <c r="E92" s="26" t="s">
        <v>85</v>
      </c>
      <c r="F92">
        <v>8.5357904106149345</v>
      </c>
      <c r="G92" s="39">
        <v>0.1</v>
      </c>
      <c r="H92" s="39"/>
      <c r="I92">
        <f>param!$E$57*param!$B$57*0.024*0.049/1000</f>
        <v>8.5357904106149345</v>
      </c>
    </row>
    <row r="93" spans="3:9" ht="34" customHeight="1">
      <c r="C93" t="s">
        <v>150</v>
      </c>
      <c r="D93" t="s">
        <v>136</v>
      </c>
      <c r="E93" s="26" t="s">
        <v>87</v>
      </c>
      <c r="F93">
        <v>18.726478962063375</v>
      </c>
      <c r="G93" s="39">
        <v>0.1</v>
      </c>
      <c r="H93" s="39"/>
      <c r="I93">
        <f>param!$E$57*param!$B$57*0.06*0.043/1000</f>
        <v>18.726478962063375</v>
      </c>
    </row>
    <row r="94" spans="3:9" ht="17" customHeight="1">
      <c r="C94" t="s">
        <v>150</v>
      </c>
      <c r="D94" t="s">
        <v>136</v>
      </c>
      <c r="E94" s="26" t="s">
        <v>80</v>
      </c>
      <c r="F94">
        <v>200.6926912019583</v>
      </c>
      <c r="G94" s="39">
        <v>0.1</v>
      </c>
      <c r="H94" s="39"/>
      <c r="I94">
        <f>param!$E$57*param!$B$57*0.035*0.79/1000</f>
        <v>200.6926912019583</v>
      </c>
    </row>
    <row r="95" spans="3:9" ht="34" customHeight="1">
      <c r="C95" t="s">
        <v>150</v>
      </c>
      <c r="D95" t="s">
        <v>129</v>
      </c>
      <c r="E95" s="25" t="s">
        <v>118</v>
      </c>
      <c r="F95">
        <v>14689.809627249375</v>
      </c>
      <c r="G95" s="39">
        <v>0.1</v>
      </c>
      <c r="H95" s="39"/>
      <c r="I95">
        <f>param!H19</f>
        <v>14689.809627249375</v>
      </c>
    </row>
    <row r="96" spans="3:9">
      <c r="C96" t="s">
        <v>151</v>
      </c>
      <c r="D96" s="38" t="s">
        <v>107</v>
      </c>
      <c r="E96" s="38" t="s">
        <v>127</v>
      </c>
      <c r="F96">
        <v>554.29999999999995</v>
      </c>
      <c r="G96" s="39">
        <v>0.1</v>
      </c>
      <c r="H96" s="39"/>
      <c r="I96">
        <f>param!B46*param!B49*param!B50*1000</f>
        <v>554.29999999999995</v>
      </c>
    </row>
    <row r="97" spans="3:9" ht="17" customHeight="1">
      <c r="C97" t="s">
        <v>150</v>
      </c>
      <c r="D97" t="s">
        <v>128</v>
      </c>
      <c r="E97" s="25" t="s">
        <v>44</v>
      </c>
      <c r="F97">
        <v>0</v>
      </c>
      <c r="G97" s="39">
        <v>0.1</v>
      </c>
      <c r="H97" s="39"/>
      <c r="I97">
        <f>param!$H$14*param!E37</f>
        <v>0</v>
      </c>
    </row>
    <row r="98" spans="3:9">
      <c r="C98" t="s">
        <v>150</v>
      </c>
      <c r="D98" t="s">
        <v>128</v>
      </c>
      <c r="E98" s="52" t="s">
        <v>19</v>
      </c>
      <c r="F98">
        <v>269.95805328472181</v>
      </c>
      <c r="G98" s="39">
        <v>0.1</v>
      </c>
      <c r="H98" s="39"/>
      <c r="I98">
        <f>param!$H$14*param!E15</f>
        <v>269.95805328472181</v>
      </c>
    </row>
    <row r="99" spans="3:9" ht="17" customHeight="1">
      <c r="C99" t="s">
        <v>150</v>
      </c>
      <c r="D99" t="s">
        <v>128</v>
      </c>
      <c r="E99" s="25" t="s">
        <v>27</v>
      </c>
      <c r="F99">
        <v>1.4975127701896245</v>
      </c>
      <c r="G99" s="39">
        <v>0.1</v>
      </c>
      <c r="H99" s="39"/>
      <c r="I99">
        <f>param!$H$14*param!E20</f>
        <v>1.4975127701896245</v>
      </c>
    </row>
    <row r="100" spans="3:9" ht="17" customHeight="1">
      <c r="C100" t="s">
        <v>150</v>
      </c>
      <c r="D100" t="s">
        <v>128</v>
      </c>
      <c r="E100" s="25" t="s">
        <v>30</v>
      </c>
      <c r="F100">
        <v>3.3116425260764828</v>
      </c>
      <c r="G100" s="39">
        <v>0.1</v>
      </c>
      <c r="H100" s="39"/>
      <c r="I100">
        <f>param!$H$14*param!E23</f>
        <v>3.3116425260764828</v>
      </c>
    </row>
    <row r="101" spans="3:9" ht="17" customHeight="1">
      <c r="C101" t="s">
        <v>150</v>
      </c>
      <c r="D101" t="s">
        <v>128</v>
      </c>
      <c r="E101" s="25" t="s">
        <v>33</v>
      </c>
      <c r="F101">
        <v>0</v>
      </c>
      <c r="G101" s="39">
        <v>0.1</v>
      </c>
      <c r="H101" s="39"/>
      <c r="I101">
        <f>param!$H$14*param!E26</f>
        <v>0</v>
      </c>
    </row>
    <row r="102" spans="3:9" ht="17" customHeight="1">
      <c r="C102" t="s">
        <v>150</v>
      </c>
      <c r="D102" t="s">
        <v>128</v>
      </c>
      <c r="E102" s="52" t="s">
        <v>10</v>
      </c>
      <c r="F102">
        <v>66.41007996937941</v>
      </c>
      <c r="G102" s="39">
        <v>0.1</v>
      </c>
      <c r="H102" s="39"/>
      <c r="I102">
        <f>param!$H$14*param!E11</f>
        <v>66.41007996937941</v>
      </c>
    </row>
    <row r="103" spans="3:9" ht="34" customHeight="1">
      <c r="C103" t="s">
        <v>150</v>
      </c>
      <c r="D103" t="s">
        <v>128</v>
      </c>
      <c r="E103" s="25" t="s">
        <v>112</v>
      </c>
      <c r="F103">
        <v>0</v>
      </c>
      <c r="G103" s="39">
        <v>0.1</v>
      </c>
      <c r="H103" s="39"/>
      <c r="I103">
        <f>param!$H$14*param!E24</f>
        <v>0</v>
      </c>
    </row>
    <row r="104" spans="3:9" ht="34" customHeight="1">
      <c r="C104" t="s">
        <v>150</v>
      </c>
      <c r="D104" t="s">
        <v>128</v>
      </c>
      <c r="E104" s="52" t="s">
        <v>7</v>
      </c>
      <c r="F104">
        <v>1110.4188282748567</v>
      </c>
      <c r="G104" s="39">
        <v>0.1</v>
      </c>
      <c r="H104" s="39"/>
      <c r="I104">
        <f>param!$H$14*param!E8</f>
        <v>1110.4188282748567</v>
      </c>
    </row>
    <row r="105" spans="3:9" ht="51" customHeight="1">
      <c r="C105" t="s">
        <v>150</v>
      </c>
      <c r="D105" t="s">
        <v>128</v>
      </c>
      <c r="E105" s="25" t="s">
        <v>46</v>
      </c>
      <c r="F105">
        <v>0.28702328095301133</v>
      </c>
      <c r="G105" s="39">
        <v>0.1</v>
      </c>
      <c r="H105" s="39"/>
      <c r="I105">
        <f>param!$H$14*param!E38</f>
        <v>0.28702328095301133</v>
      </c>
    </row>
    <row r="106" spans="3:9" ht="34" customHeight="1">
      <c r="C106" t="s">
        <v>150</v>
      </c>
      <c r="D106" t="s">
        <v>128</v>
      </c>
      <c r="E106" s="25" t="s">
        <v>40</v>
      </c>
      <c r="F106">
        <v>0</v>
      </c>
      <c r="G106" s="39">
        <v>0.1</v>
      </c>
      <c r="H106" s="39"/>
      <c r="I106">
        <f>param!$H$14*param!E33</f>
        <v>0</v>
      </c>
    </row>
    <row r="107" spans="3:9" ht="17" customHeight="1">
      <c r="C107" t="s">
        <v>150</v>
      </c>
      <c r="D107" t="s">
        <v>128</v>
      </c>
      <c r="E107" s="25" t="s">
        <v>48</v>
      </c>
      <c r="F107">
        <v>0</v>
      </c>
      <c r="G107" s="39">
        <v>0.1</v>
      </c>
      <c r="H107" s="39"/>
      <c r="I107">
        <f>param!$H$14*param!E41</f>
        <v>0</v>
      </c>
    </row>
    <row r="108" spans="3:9" ht="34" customHeight="1">
      <c r="C108" t="s">
        <v>150</v>
      </c>
      <c r="D108" t="s">
        <v>128</v>
      </c>
      <c r="E108" s="52" t="s">
        <v>22</v>
      </c>
      <c r="F108">
        <v>106.3400457142432</v>
      </c>
      <c r="G108" s="39">
        <v>0.1</v>
      </c>
      <c r="H108" s="39"/>
      <c r="I108">
        <f>param!$H$14*param!E17</f>
        <v>106.3400457142432</v>
      </c>
    </row>
    <row r="109" spans="3:9" ht="17" customHeight="1">
      <c r="C109" t="s">
        <v>150</v>
      </c>
      <c r="D109" t="s">
        <v>128</v>
      </c>
      <c r="E109" s="25" t="s">
        <v>39</v>
      </c>
      <c r="F109">
        <v>0</v>
      </c>
      <c r="G109" s="39">
        <v>0.1</v>
      </c>
      <c r="H109" s="39"/>
      <c r="I109">
        <f>param!$H$14*param!E32</f>
        <v>0</v>
      </c>
    </row>
    <row r="110" spans="3:9" ht="34" customHeight="1">
      <c r="C110" t="s">
        <v>150</v>
      </c>
      <c r="D110" t="s">
        <v>128</v>
      </c>
      <c r="E110" s="25" t="s">
        <v>28</v>
      </c>
      <c r="F110">
        <v>6.8566672672108258</v>
      </c>
      <c r="G110" s="39">
        <v>0.1</v>
      </c>
      <c r="H110" s="39"/>
      <c r="I110">
        <f>param!$H$14*param!E21</f>
        <v>6.8566672672108258</v>
      </c>
    </row>
    <row r="111" spans="3:9" ht="34" customHeight="1">
      <c r="C111" t="s">
        <v>150</v>
      </c>
      <c r="D111" t="s">
        <v>128</v>
      </c>
      <c r="E111" s="25" t="s">
        <v>42</v>
      </c>
      <c r="F111">
        <v>29.989000575465649</v>
      </c>
      <c r="G111" s="39">
        <v>0.1</v>
      </c>
      <c r="H111" s="39"/>
      <c r="I111">
        <f>param!$H$14*param!E35</f>
        <v>29.989000575465649</v>
      </c>
    </row>
    <row r="112" spans="3:9" ht="34" customHeight="1">
      <c r="C112" t="s">
        <v>150</v>
      </c>
      <c r="D112" t="s">
        <v>128</v>
      </c>
      <c r="E112" s="25" t="s">
        <v>38</v>
      </c>
      <c r="F112">
        <v>186.44339037758451</v>
      </c>
      <c r="G112" s="39">
        <v>0.1</v>
      </c>
      <c r="H112" s="39"/>
      <c r="I112">
        <f>param!H14*param!E31</f>
        <v>186.44339037758451</v>
      </c>
    </row>
    <row r="113" spans="3:9" ht="17" customHeight="1">
      <c r="C113" t="s">
        <v>150</v>
      </c>
      <c r="D113" t="s">
        <v>128</v>
      </c>
      <c r="E113" s="25" t="s">
        <v>35</v>
      </c>
      <c r="F113">
        <v>0</v>
      </c>
      <c r="G113" s="39">
        <v>0.1</v>
      </c>
      <c r="H113" s="39"/>
      <c r="I113">
        <f>param!$H$14*param!E28</f>
        <v>0</v>
      </c>
    </row>
    <row r="114" spans="3:9" ht="34" customHeight="1">
      <c r="C114" t="s">
        <v>150</v>
      </c>
      <c r="D114" t="s">
        <v>128</v>
      </c>
      <c r="E114" s="25" t="s">
        <v>36</v>
      </c>
      <c r="F114">
        <v>0</v>
      </c>
      <c r="G114" s="39">
        <v>0.1</v>
      </c>
      <c r="H114" s="39"/>
      <c r="I114">
        <f>param!$H$14*param!E29</f>
        <v>0</v>
      </c>
    </row>
    <row r="115" spans="3:9" ht="34" customHeight="1">
      <c r="C115" t="s">
        <v>150</v>
      </c>
      <c r="D115" t="s">
        <v>128</v>
      </c>
      <c r="E115" s="25" t="s">
        <v>41</v>
      </c>
      <c r="F115">
        <v>0</v>
      </c>
      <c r="G115" s="39">
        <v>0.1</v>
      </c>
      <c r="H115" s="39"/>
      <c r="I115">
        <f>param!$H$14*param!E34</f>
        <v>0</v>
      </c>
    </row>
    <row r="116" spans="3:9" ht="34" customHeight="1">
      <c r="C116" t="s">
        <v>150</v>
      </c>
      <c r="D116" s="53" t="s">
        <v>128</v>
      </c>
      <c r="E116" s="25" t="s">
        <v>37</v>
      </c>
      <c r="F116">
        <v>0.15129157586830033</v>
      </c>
      <c r="G116" s="39">
        <v>0.1</v>
      </c>
      <c r="H116" s="39"/>
      <c r="I116">
        <f>param!$H$14*param!E30</f>
        <v>0.15129157586830033</v>
      </c>
    </row>
    <row r="117" spans="3:9" ht="17" customHeight="1">
      <c r="C117" t="s">
        <v>150</v>
      </c>
      <c r="D117" s="53" t="s">
        <v>128</v>
      </c>
      <c r="E117" s="25" t="s">
        <v>45</v>
      </c>
      <c r="F117">
        <v>0</v>
      </c>
      <c r="G117" s="39">
        <v>0.1</v>
      </c>
      <c r="H117" s="39"/>
      <c r="I117">
        <f>param!$H$14*param!E39</f>
        <v>0</v>
      </c>
    </row>
    <row r="118" spans="3:9" ht="17" customHeight="1">
      <c r="C118" t="s">
        <v>150</v>
      </c>
      <c r="D118" s="53" t="s">
        <v>128</v>
      </c>
      <c r="E118" s="25" t="s">
        <v>115</v>
      </c>
      <c r="F118">
        <v>0</v>
      </c>
      <c r="G118" s="39">
        <v>0.1</v>
      </c>
      <c r="H118" s="39"/>
      <c r="I118">
        <f>param!$H$14*param!E42</f>
        <v>0</v>
      </c>
    </row>
    <row r="119" spans="3:9" ht="34" customHeight="1">
      <c r="C119" t="s">
        <v>150</v>
      </c>
      <c r="D119" t="s">
        <v>128</v>
      </c>
      <c r="E119" s="25" t="s">
        <v>114</v>
      </c>
      <c r="F119">
        <v>1909.5664824314836</v>
      </c>
      <c r="G119" s="39">
        <v>0.1</v>
      </c>
      <c r="H119" s="39"/>
      <c r="I119">
        <f>param!$H$14*param!E40</f>
        <v>1909.5664824314836</v>
      </c>
    </row>
    <row r="120" spans="3:9" ht="51" customHeight="1">
      <c r="C120" t="s">
        <v>150</v>
      </c>
      <c r="D120" t="s">
        <v>128</v>
      </c>
      <c r="E120" s="52" t="s">
        <v>12</v>
      </c>
      <c r="F120">
        <v>297.07252659604654</v>
      </c>
      <c r="G120" s="39">
        <v>0.1</v>
      </c>
      <c r="H120" s="39"/>
      <c r="I120">
        <f>param!$H$14*param!E12</f>
        <v>297.07252659604654</v>
      </c>
    </row>
    <row r="121" spans="3:9" ht="34" customHeight="1">
      <c r="C121" t="s">
        <v>150</v>
      </c>
      <c r="D121" t="s">
        <v>128</v>
      </c>
      <c r="E121" s="25" t="s">
        <v>43</v>
      </c>
      <c r="F121">
        <v>0</v>
      </c>
      <c r="G121" s="39">
        <v>0.1</v>
      </c>
      <c r="H121" s="39"/>
      <c r="I121">
        <f>param!$H$14*param!E36</f>
        <v>0</v>
      </c>
    </row>
    <row r="122" spans="3:9" ht="17" customHeight="1">
      <c r="C122" t="s">
        <v>150</v>
      </c>
      <c r="D122" t="s">
        <v>128</v>
      </c>
      <c r="E122" s="52" t="s">
        <v>9</v>
      </c>
      <c r="F122">
        <v>462.44938747749165</v>
      </c>
      <c r="G122" s="39">
        <v>0.1</v>
      </c>
      <c r="H122" s="39"/>
      <c r="I122">
        <f>param!$H$14*param!E10</f>
        <v>462.44938747749165</v>
      </c>
    </row>
    <row r="123" spans="3:9" ht="34" customHeight="1">
      <c r="C123" t="s">
        <v>150</v>
      </c>
      <c r="D123" t="s">
        <v>128</v>
      </c>
      <c r="E123" s="25" t="s">
        <v>20</v>
      </c>
      <c r="F123">
        <v>615.54153349347814</v>
      </c>
      <c r="G123" s="39">
        <v>0.1</v>
      </c>
      <c r="H123" s="39"/>
      <c r="I123">
        <f>param!$H$14*param!E16</f>
        <v>615.54153349347814</v>
      </c>
    </row>
    <row r="124" spans="3:9" ht="17" customHeight="1">
      <c r="C124" t="s">
        <v>150</v>
      </c>
      <c r="D124" t="s">
        <v>128</v>
      </c>
      <c r="E124" s="25" t="s">
        <v>29</v>
      </c>
      <c r="F124">
        <v>6.9644327232285441</v>
      </c>
      <c r="G124" s="39">
        <v>0.1</v>
      </c>
      <c r="H124" s="39"/>
      <c r="I124">
        <f>param!$H$14*param!E22</f>
        <v>6.9644327232285441</v>
      </c>
    </row>
    <row r="125" spans="3:9" ht="34" customHeight="1">
      <c r="C125" t="s">
        <v>150</v>
      </c>
      <c r="D125" t="s">
        <v>128</v>
      </c>
      <c r="E125" s="25" t="s">
        <v>110</v>
      </c>
      <c r="F125">
        <v>0</v>
      </c>
      <c r="G125" s="39">
        <v>0.1</v>
      </c>
      <c r="H125" s="39"/>
      <c r="I125">
        <f>param!$H$14*param!E27</f>
        <v>0</v>
      </c>
    </row>
    <row r="126" spans="3:9" ht="34" customHeight="1">
      <c r="C126" t="s">
        <v>150</v>
      </c>
      <c r="D126" t="s">
        <v>128</v>
      </c>
      <c r="E126" s="25" t="s">
        <v>32</v>
      </c>
      <c r="F126">
        <v>4.5417391322501928</v>
      </c>
      <c r="G126" s="39">
        <v>0.1</v>
      </c>
      <c r="H126" s="39"/>
      <c r="I126">
        <f>param!$H$14*param!E25</f>
        <v>4.5417391322501928</v>
      </c>
    </row>
    <row r="127" spans="3:9" ht="34" customHeight="1">
      <c r="C127" t="s">
        <v>150</v>
      </c>
      <c r="D127" t="s">
        <v>128</v>
      </c>
      <c r="E127" s="52" t="s">
        <v>15</v>
      </c>
      <c r="F127">
        <v>0</v>
      </c>
      <c r="G127" s="39">
        <v>0.1</v>
      </c>
      <c r="H127" s="39"/>
      <c r="I127">
        <f>param!$H$14*param!E13</f>
        <v>0</v>
      </c>
    </row>
    <row r="128" spans="3:9" ht="17" customHeight="1">
      <c r="C128" t="s">
        <v>150</v>
      </c>
      <c r="D128" t="s">
        <v>128</v>
      </c>
      <c r="E128" s="52" t="s">
        <v>8</v>
      </c>
      <c r="F128">
        <v>89.589828176678509</v>
      </c>
      <c r="G128" s="39">
        <v>0.1</v>
      </c>
      <c r="H128" s="39"/>
      <c r="I128">
        <f>param!$H$14*param!E9</f>
        <v>89.589828176678509</v>
      </c>
    </row>
    <row r="129" spans="3:9" ht="17">
      <c r="C129" t="s">
        <v>150</v>
      </c>
      <c r="D129" t="s">
        <v>128</v>
      </c>
      <c r="E129" s="25" t="s">
        <v>26</v>
      </c>
      <c r="F129">
        <v>30.634832670164879</v>
      </c>
      <c r="G129" s="39">
        <v>0.1</v>
      </c>
      <c r="H129" s="39"/>
      <c r="I129">
        <f>param!$H$14*param!E19</f>
        <v>30.634832670164879</v>
      </c>
    </row>
    <row r="130" spans="3:9" ht="17">
      <c r="C130" t="s">
        <v>150</v>
      </c>
      <c r="D130" s="53" t="s">
        <v>128</v>
      </c>
      <c r="E130" s="25" t="s">
        <v>25</v>
      </c>
      <c r="F130">
        <v>17.510117319273235</v>
      </c>
      <c r="G130" s="39">
        <v>0.1</v>
      </c>
      <c r="H130" s="39"/>
      <c r="I130">
        <f>param!$H$14*param!E18</f>
        <v>17.510117319273235</v>
      </c>
    </row>
    <row r="131" spans="3:9" ht="17">
      <c r="C131" t="s">
        <v>150</v>
      </c>
      <c r="D131" s="53" t="s">
        <v>128</v>
      </c>
      <c r="E131" s="25" t="s">
        <v>17</v>
      </c>
      <c r="F131">
        <v>1077.0111843203774</v>
      </c>
      <c r="G131" s="39">
        <v>0.1</v>
      </c>
      <c r="H131" s="39"/>
      <c r="I131">
        <f>param!H14*param!E14</f>
        <v>1077.0111843203774</v>
      </c>
    </row>
    <row r="132" spans="3:9" ht="17" customHeight="1">
      <c r="C132" t="s">
        <v>150</v>
      </c>
      <c r="D132" s="53" t="s">
        <v>66</v>
      </c>
      <c r="E132" s="26" t="s">
        <v>82</v>
      </c>
      <c r="F132">
        <v>3.4451999999999998</v>
      </c>
      <c r="G132" s="39">
        <v>0.1</v>
      </c>
      <c r="H132" s="39"/>
      <c r="I132">
        <f>param!$E$58*param!$B$58*0.029*0.036/1000</f>
        <v>3.4451999999999998</v>
      </c>
    </row>
    <row r="133" spans="3:9">
      <c r="C133" t="s">
        <v>150</v>
      </c>
      <c r="D133" s="53" t="s">
        <v>66</v>
      </c>
      <c r="E133" s="26" t="s">
        <v>86</v>
      </c>
      <c r="F133">
        <v>1.881</v>
      </c>
      <c r="G133" s="39">
        <v>0.1</v>
      </c>
      <c r="H133" s="39"/>
      <c r="I133">
        <f>param!$E$58*param!$B$58*0.005*0.114/1000</f>
        <v>1.881</v>
      </c>
    </row>
    <row r="134" spans="3:9">
      <c r="C134" t="s">
        <v>150</v>
      </c>
      <c r="D134" s="53" t="s">
        <v>66</v>
      </c>
      <c r="E134" s="40" t="s">
        <v>103</v>
      </c>
      <c r="F134">
        <v>52.441608499503509</v>
      </c>
      <c r="G134" s="39">
        <v>0.1</v>
      </c>
      <c r="I134">
        <f>param!B58*param!D58*0.1/1000</f>
        <v>52.441608499503509</v>
      </c>
    </row>
    <row r="135" spans="3:9" ht="34" customHeight="1">
      <c r="C135" t="s">
        <v>150</v>
      </c>
      <c r="D135" t="s">
        <v>66</v>
      </c>
      <c r="E135" s="26" t="s">
        <v>81</v>
      </c>
      <c r="F135">
        <v>0.42240000000000005</v>
      </c>
      <c r="G135" s="39">
        <v>0.1</v>
      </c>
      <c r="H135" s="39"/>
      <c r="I135">
        <f>param!$E$58*param!$B$58*0.0032*0.04/1000</f>
        <v>0.42240000000000005</v>
      </c>
    </row>
    <row r="136" spans="3:9">
      <c r="C136" t="s">
        <v>150</v>
      </c>
      <c r="D136" t="s">
        <v>66</v>
      </c>
      <c r="E136" s="26" t="s">
        <v>88</v>
      </c>
      <c r="F136">
        <v>0.46464</v>
      </c>
      <c r="G136" s="39">
        <v>0.1</v>
      </c>
      <c r="H136" s="39"/>
      <c r="I136">
        <f>param!$E$58*param!$B$58*0.0032*0.044/1000</f>
        <v>0.46464</v>
      </c>
    </row>
    <row r="137" spans="3:9">
      <c r="C137" t="s">
        <v>150</v>
      </c>
      <c r="D137" t="s">
        <v>66</v>
      </c>
      <c r="E137" s="40" t="s">
        <v>104</v>
      </c>
      <c r="F137">
        <v>471.97447649553158</v>
      </c>
      <c r="G137" s="39">
        <v>0.1</v>
      </c>
      <c r="I137">
        <f>param!B58*param!D58*0.9/1000</f>
        <v>471.97447649553158</v>
      </c>
    </row>
    <row r="138" spans="3:9" ht="34" customHeight="1">
      <c r="C138" t="s">
        <v>150</v>
      </c>
      <c r="D138" t="s">
        <v>66</v>
      </c>
      <c r="E138" s="26" t="s">
        <v>122</v>
      </c>
      <c r="F138">
        <v>0</v>
      </c>
      <c r="G138" s="39">
        <v>0.1</v>
      </c>
      <c r="H138" s="39"/>
      <c r="I138">
        <f>param!F58*param!B58*0.0179/1000</f>
        <v>0</v>
      </c>
    </row>
    <row r="139" spans="3:9" ht="34" customHeight="1">
      <c r="C139" t="s">
        <v>150</v>
      </c>
      <c r="D139" t="s">
        <v>66</v>
      </c>
      <c r="E139" s="26" t="s">
        <v>83</v>
      </c>
      <c r="F139">
        <v>52.634999999999998</v>
      </c>
      <c r="G139" s="39">
        <v>0.1</v>
      </c>
      <c r="H139" s="39"/>
      <c r="I139">
        <f>param!$E$58*param!$B$58*0.055*0.29/1000</f>
        <v>52.634999999999998</v>
      </c>
    </row>
    <row r="140" spans="3:9" ht="34" customHeight="1">
      <c r="C140" t="s">
        <v>150</v>
      </c>
      <c r="D140" t="s">
        <v>66</v>
      </c>
      <c r="E140" s="26" t="s">
        <v>84</v>
      </c>
      <c r="F140">
        <v>24.916319999999999</v>
      </c>
      <c r="G140" s="39">
        <v>0.1</v>
      </c>
      <c r="H140" s="39"/>
      <c r="I140">
        <f>param!$E$58*param!$B$58*0.0528*0.143/1000</f>
        <v>24.916319999999999</v>
      </c>
    </row>
    <row r="141" spans="3:9" ht="34" customHeight="1">
      <c r="C141" t="s">
        <v>150</v>
      </c>
      <c r="D141" t="s">
        <v>66</v>
      </c>
      <c r="E141" s="26" t="s">
        <v>85</v>
      </c>
      <c r="F141">
        <v>3.8808000000000002</v>
      </c>
      <c r="G141" s="39">
        <v>0.1</v>
      </c>
      <c r="H141" s="39"/>
      <c r="I141">
        <f>param!$E$58*param!$B$58*0.024*0.049/1000</f>
        <v>3.8808000000000002</v>
      </c>
    </row>
    <row r="142" spans="3:9" ht="34" customHeight="1">
      <c r="C142" t="s">
        <v>150</v>
      </c>
      <c r="D142" t="s">
        <v>66</v>
      </c>
      <c r="E142" s="26" t="s">
        <v>87</v>
      </c>
      <c r="F142">
        <v>8.5139999999999993</v>
      </c>
      <c r="G142" s="39">
        <v>0.1</v>
      </c>
      <c r="H142" s="39"/>
      <c r="I142">
        <f>param!$E$58*param!$B$58*0.06*0.043/1000</f>
        <v>8.5139999999999993</v>
      </c>
    </row>
    <row r="143" spans="3:9" ht="17" customHeight="1">
      <c r="C143" t="s">
        <v>150</v>
      </c>
      <c r="D143" t="s">
        <v>66</v>
      </c>
      <c r="E143" s="26" t="s">
        <v>80</v>
      </c>
      <c r="F143">
        <v>66.33</v>
      </c>
      <c r="G143" s="39">
        <v>0.1</v>
      </c>
      <c r="H143" s="39"/>
      <c r="I143">
        <f>param!$E$58*param!$B$58*0.03*0.67/1000</f>
        <v>66.33</v>
      </c>
    </row>
    <row r="144" spans="3:9" ht="34" customHeight="1">
      <c r="C144" t="s">
        <v>150</v>
      </c>
      <c r="D144" t="s">
        <v>131</v>
      </c>
      <c r="E144" s="40" t="s">
        <v>82</v>
      </c>
      <c r="F144">
        <v>17.13</v>
      </c>
      <c r="G144" s="39">
        <v>0.1</v>
      </c>
      <c r="I144">
        <f>'[1]module corrigé'!D63</f>
        <v>17.13</v>
      </c>
    </row>
    <row r="145" spans="3:9" ht="17" customHeight="1">
      <c r="C145" t="s">
        <v>150</v>
      </c>
      <c r="D145" t="s">
        <v>131</v>
      </c>
      <c r="E145" s="40" t="s">
        <v>86</v>
      </c>
      <c r="F145">
        <v>24.5</v>
      </c>
      <c r="G145" s="39">
        <v>0.1</v>
      </c>
      <c r="I145">
        <f>'[1]module corrigé'!D67</f>
        <v>24.5</v>
      </c>
    </row>
    <row r="146" spans="3:9" ht="17" customHeight="1">
      <c r="C146" t="s">
        <v>150</v>
      </c>
      <c r="D146" t="s">
        <v>131</v>
      </c>
      <c r="E146" s="40" t="s">
        <v>105</v>
      </c>
      <c r="F146">
        <v>4010.9160000000002</v>
      </c>
      <c r="G146" s="39">
        <v>0.1</v>
      </c>
      <c r="I146">
        <f>'[1]module corrigé'!D71*0.546</f>
        <v>4010.9160000000002</v>
      </c>
    </row>
    <row r="147" spans="3:9" ht="17" customHeight="1">
      <c r="C147" t="s">
        <v>150</v>
      </c>
      <c r="D147" t="s">
        <v>131</v>
      </c>
      <c r="E147" s="40" t="s">
        <v>103</v>
      </c>
      <c r="F147">
        <v>2919.7944680000001</v>
      </c>
      <c r="G147" s="39">
        <v>0.1</v>
      </c>
      <c r="I147">
        <f>'[1]module corrigé'!D71*0.454*0.827+'[1]module corrigé'!D72</f>
        <v>2919.7944680000001</v>
      </c>
    </row>
    <row r="148" spans="3:9" ht="17" customHeight="1">
      <c r="C148" t="s">
        <v>150</v>
      </c>
      <c r="D148" t="s">
        <v>131</v>
      </c>
      <c r="E148" s="40" t="s">
        <v>81</v>
      </c>
      <c r="F148">
        <v>2.94</v>
      </c>
      <c r="G148" s="39">
        <v>0.1</v>
      </c>
      <c r="I148">
        <f>'[1]module corrigé'!D62</f>
        <v>2.94</v>
      </c>
    </row>
    <row r="149" spans="3:9" ht="34" customHeight="1">
      <c r="C149" t="s">
        <v>150</v>
      </c>
      <c r="D149" t="s">
        <v>131</v>
      </c>
      <c r="E149" s="40" t="s">
        <v>88</v>
      </c>
      <c r="F149">
        <v>2.94</v>
      </c>
      <c r="G149" s="39">
        <v>0.1</v>
      </c>
      <c r="I149">
        <f>'[1]module corrigé'!D69</f>
        <v>2.94</v>
      </c>
    </row>
    <row r="150" spans="3:9" ht="34" customHeight="1">
      <c r="C150" t="s">
        <v>150</v>
      </c>
      <c r="D150" t="s">
        <v>131</v>
      </c>
      <c r="E150" s="53" t="s">
        <v>79</v>
      </c>
      <c r="F150">
        <v>511.89</v>
      </c>
      <c r="G150" s="39">
        <v>0.1</v>
      </c>
      <c r="I150">
        <f>'[1]module corrigé'!D60</f>
        <v>511.89</v>
      </c>
    </row>
    <row r="151" spans="3:9" ht="34" customHeight="1">
      <c r="C151" t="s">
        <v>150</v>
      </c>
      <c r="D151" t="s">
        <v>131</v>
      </c>
      <c r="E151" s="40" t="s">
        <v>104</v>
      </c>
      <c r="F151">
        <v>576.96953199999996</v>
      </c>
      <c r="G151" s="39">
        <v>0.1</v>
      </c>
      <c r="I151">
        <f>'[1]module corrigé'!D71*0.454*0.173</f>
        <v>576.96953199999996</v>
      </c>
    </row>
    <row r="152" spans="3:9" ht="17" customHeight="1">
      <c r="C152" t="s">
        <v>150</v>
      </c>
      <c r="D152" t="s">
        <v>131</v>
      </c>
      <c r="E152" s="40" t="s">
        <v>83</v>
      </c>
      <c r="F152">
        <v>107.56</v>
      </c>
      <c r="G152" s="39">
        <v>0.1</v>
      </c>
      <c r="I152">
        <f>'[1]module corrigé'!D64</f>
        <v>107.56</v>
      </c>
    </row>
    <row r="153" spans="3:9">
      <c r="C153" t="s">
        <v>150</v>
      </c>
      <c r="D153" t="s">
        <v>131</v>
      </c>
      <c r="E153" s="40" t="s">
        <v>84</v>
      </c>
      <c r="F153">
        <v>82.82</v>
      </c>
      <c r="G153" s="39">
        <v>0.1</v>
      </c>
      <c r="I153">
        <f>'[1]module corrigé'!D65</f>
        <v>82.82</v>
      </c>
    </row>
    <row r="154" spans="3:9" ht="17" customHeight="1">
      <c r="C154" t="s">
        <v>150</v>
      </c>
      <c r="D154" t="s">
        <v>131</v>
      </c>
      <c r="E154" s="40" t="s">
        <v>85</v>
      </c>
      <c r="F154">
        <v>18.82</v>
      </c>
      <c r="G154" s="39">
        <v>0.1</v>
      </c>
      <c r="I154">
        <f>'[1]module corrigé'!D66</f>
        <v>18.82</v>
      </c>
    </row>
    <row r="155" spans="3:9" ht="17" customHeight="1">
      <c r="C155" t="s">
        <v>150</v>
      </c>
      <c r="D155" t="s">
        <v>131</v>
      </c>
      <c r="E155" s="40" t="s">
        <v>87</v>
      </c>
      <c r="F155">
        <v>35.450000000000003</v>
      </c>
      <c r="G155" s="39">
        <v>0.1</v>
      </c>
      <c r="I155">
        <f>'[1]module corrigé'!D68</f>
        <v>35.450000000000003</v>
      </c>
    </row>
    <row r="156" spans="3:9">
      <c r="C156" t="s">
        <v>150</v>
      </c>
      <c r="D156" t="s">
        <v>131</v>
      </c>
      <c r="E156" s="40" t="s">
        <v>80</v>
      </c>
      <c r="F156">
        <v>220.60999999999999</v>
      </c>
      <c r="G156" s="39">
        <v>0.1</v>
      </c>
      <c r="I156">
        <f>'[1]module corrigé'!D61</f>
        <v>220.60999999999999</v>
      </c>
    </row>
  </sheetData>
  <autoFilter ref="A1:J169" xr:uid="{00000000-0009-0000-0000-000005000000}">
    <sortState ref="A2:I157">
      <sortCondition ref="D1:D169"/>
    </sortState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5"/>
  <dimension ref="A1:R2"/>
  <sheetViews>
    <sheetView workbookViewId="0">
      <selection activeCell="E9" sqref="E9"/>
    </sheetView>
  </sheetViews>
  <sheetFormatPr baseColWidth="10" defaultRowHeight="16"/>
  <cols>
    <col min="1" max="5" width="10.83203125" style="40" customWidth="1"/>
    <col min="6" max="7" width="10.83203125" style="6" customWidth="1"/>
    <col min="8" max="26" width="10.83203125" style="40" customWidth="1"/>
    <col min="27" max="16384" width="10.83203125" style="40"/>
  </cols>
  <sheetData>
    <row r="1" spans="1:18">
      <c r="A1" s="40" t="s">
        <v>141</v>
      </c>
      <c r="B1" s="40" t="s">
        <v>142</v>
      </c>
      <c r="C1" s="40" t="s">
        <v>143</v>
      </c>
      <c r="D1" s="40" t="s">
        <v>144</v>
      </c>
      <c r="E1" s="40" t="s">
        <v>145</v>
      </c>
      <c r="F1" s="6" t="s">
        <v>152</v>
      </c>
      <c r="G1" s="6" t="s">
        <v>153</v>
      </c>
      <c r="H1" s="40" t="s">
        <v>149</v>
      </c>
      <c r="L1" s="38"/>
      <c r="M1" s="30"/>
      <c r="N1" s="6"/>
      <c r="P1" s="27"/>
      <c r="Q1" s="38"/>
      <c r="R1" s="30"/>
    </row>
    <row r="2" spans="1:18">
      <c r="G2" s="5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8"/>
  <sheetViews>
    <sheetView workbookViewId="0">
      <selection activeCell="D36" sqref="D36"/>
    </sheetView>
  </sheetViews>
  <sheetFormatPr baseColWidth="10" defaultRowHeight="16"/>
  <cols>
    <col min="1" max="3" width="10.83203125" style="13" customWidth="1"/>
    <col min="4" max="4" width="17" style="13" bestFit="1" customWidth="1"/>
    <col min="5" max="5" width="27.5" style="13" bestFit="1" customWidth="1"/>
    <col min="6" max="6" width="23.5" style="13" bestFit="1" customWidth="1"/>
    <col min="7" max="25" width="10.83203125" style="13" customWidth="1"/>
    <col min="26" max="16384" width="10.83203125" style="13"/>
  </cols>
  <sheetData>
    <row r="1" spans="1:9">
      <c r="A1" s="12" t="s">
        <v>154</v>
      </c>
      <c r="B1" s="12" t="s">
        <v>141</v>
      </c>
      <c r="C1" s="12" t="s">
        <v>142</v>
      </c>
      <c r="D1" s="13" t="s">
        <v>155</v>
      </c>
      <c r="E1" s="13" t="s">
        <v>144</v>
      </c>
      <c r="F1" s="13" t="s">
        <v>145</v>
      </c>
      <c r="G1" s="13" t="s">
        <v>156</v>
      </c>
      <c r="H1" s="13" t="s">
        <v>157</v>
      </c>
      <c r="I1" s="13" t="s">
        <v>158</v>
      </c>
    </row>
    <row r="2" spans="1:9">
      <c r="A2" s="12">
        <v>1</v>
      </c>
      <c r="B2" s="12"/>
      <c r="C2" s="12"/>
      <c r="D2" s="12" t="s">
        <v>151</v>
      </c>
      <c r="E2" s="12" t="s">
        <v>99</v>
      </c>
      <c r="F2" s="12" t="s">
        <v>128</v>
      </c>
      <c r="G2" s="12">
        <v>-1</v>
      </c>
      <c r="H2" s="12"/>
      <c r="I2" s="12"/>
    </row>
    <row r="3" spans="1:9">
      <c r="A3" s="12">
        <v>1</v>
      </c>
      <c r="B3" s="12"/>
      <c r="C3" s="12"/>
      <c r="D3" s="12" t="s">
        <v>150</v>
      </c>
      <c r="E3" s="12" t="s">
        <v>128</v>
      </c>
      <c r="F3" s="12" t="s">
        <v>26</v>
      </c>
      <c r="G3" s="12">
        <v>1.23</v>
      </c>
      <c r="H3" s="12"/>
      <c r="I3" s="12"/>
    </row>
    <row r="4" spans="1:9">
      <c r="A4" s="12">
        <v>1</v>
      </c>
      <c r="B4" s="12"/>
      <c r="C4" s="12"/>
      <c r="D4" s="12" t="s">
        <v>150</v>
      </c>
      <c r="E4" s="12" t="s">
        <v>128</v>
      </c>
      <c r="F4" s="12" t="s">
        <v>28</v>
      </c>
      <c r="G4" s="12">
        <v>1.23</v>
      </c>
      <c r="H4" s="12"/>
      <c r="I4" s="12"/>
    </row>
    <row r="5" spans="1:9">
      <c r="A5" s="12">
        <v>1</v>
      </c>
      <c r="B5" s="12"/>
      <c r="C5" s="12"/>
      <c r="D5" s="12" t="s">
        <v>150</v>
      </c>
      <c r="E5" s="12" t="s">
        <v>128</v>
      </c>
      <c r="F5" s="12" t="s">
        <v>29</v>
      </c>
      <c r="G5" s="12">
        <v>1.23</v>
      </c>
      <c r="H5" s="12"/>
      <c r="I5" s="12"/>
    </row>
    <row r="6" spans="1:9">
      <c r="A6" s="12">
        <v>1</v>
      </c>
      <c r="B6" s="12"/>
      <c r="C6" s="12"/>
      <c r="D6" s="12" t="s">
        <v>150</v>
      </c>
      <c r="E6" s="12" t="s">
        <v>128</v>
      </c>
      <c r="F6" s="12" t="s">
        <v>110</v>
      </c>
      <c r="G6" s="12">
        <v>1.23</v>
      </c>
      <c r="H6" s="12"/>
      <c r="I6" s="12"/>
    </row>
    <row r="7" spans="1:9">
      <c r="A7" s="12">
        <v>1</v>
      </c>
      <c r="B7" s="12"/>
      <c r="C7" s="12"/>
      <c r="D7" s="12" t="s">
        <v>150</v>
      </c>
      <c r="E7" s="12" t="s">
        <v>128</v>
      </c>
      <c r="F7" s="12" t="s">
        <v>35</v>
      </c>
      <c r="G7" s="12">
        <v>1.23</v>
      </c>
      <c r="H7" s="12"/>
      <c r="I7" s="12"/>
    </row>
    <row r="8" spans="1:9">
      <c r="A8" s="12">
        <v>1</v>
      </c>
      <c r="B8" s="12"/>
      <c r="C8" s="12"/>
      <c r="D8" s="12" t="s">
        <v>150</v>
      </c>
      <c r="E8" s="12" t="s">
        <v>128</v>
      </c>
      <c r="F8" s="12" t="s">
        <v>36</v>
      </c>
      <c r="G8" s="12">
        <v>1.23</v>
      </c>
      <c r="H8" s="12"/>
      <c r="I8" s="12"/>
    </row>
    <row r="9" spans="1:9">
      <c r="A9" s="12">
        <v>1</v>
      </c>
      <c r="B9" s="12"/>
      <c r="C9" s="12"/>
      <c r="D9" s="12" t="s">
        <v>150</v>
      </c>
      <c r="E9" s="12" t="s">
        <v>128</v>
      </c>
      <c r="F9" s="12" t="s">
        <v>115</v>
      </c>
      <c r="G9" s="12">
        <v>1.47</v>
      </c>
      <c r="H9" s="12"/>
      <c r="I9" s="12"/>
    </row>
    <row r="10" spans="1:9">
      <c r="A10" s="12">
        <v>2</v>
      </c>
      <c r="B10" s="12"/>
      <c r="C10" s="12"/>
      <c r="D10" s="12" t="s">
        <v>151</v>
      </c>
      <c r="E10" s="12" t="s">
        <v>99</v>
      </c>
      <c r="F10" s="12" t="s">
        <v>129</v>
      </c>
      <c r="G10" s="12">
        <v>-1</v>
      </c>
      <c r="H10" s="12"/>
      <c r="I10" s="12"/>
    </row>
    <row r="11" spans="1:9">
      <c r="A11" s="12">
        <v>2</v>
      </c>
      <c r="B11" s="12"/>
      <c r="C11" s="12"/>
      <c r="D11" s="12" t="s">
        <v>150</v>
      </c>
      <c r="E11" s="13" t="s">
        <v>129</v>
      </c>
      <c r="F11" s="12" t="s">
        <v>118</v>
      </c>
      <c r="G11" s="12">
        <v>0.36749999999999999</v>
      </c>
      <c r="H11" s="12"/>
      <c r="I11" s="12"/>
    </row>
    <row r="12" spans="1:9">
      <c r="A12" s="12"/>
      <c r="B12" s="12"/>
      <c r="C12" s="12"/>
      <c r="D12" s="12"/>
      <c r="E12" s="12"/>
      <c r="F12" s="12"/>
      <c r="G12" s="12"/>
      <c r="H12" s="12"/>
      <c r="I12" s="12"/>
    </row>
    <row r="13" spans="1:9">
      <c r="A13" s="12"/>
      <c r="B13" s="12"/>
      <c r="C13" s="12"/>
      <c r="D13" s="12"/>
      <c r="E13" s="12"/>
      <c r="F13" s="12"/>
      <c r="G13" s="12"/>
      <c r="H13" s="12"/>
      <c r="I13" s="12"/>
    </row>
    <row r="14" spans="1:9">
      <c r="A14" s="12"/>
      <c r="B14" s="12"/>
      <c r="C14" s="12"/>
      <c r="D14" s="12"/>
      <c r="E14" s="12"/>
      <c r="F14" s="12"/>
      <c r="G14" s="14"/>
      <c r="H14" s="12"/>
      <c r="I14" s="12"/>
    </row>
    <row r="15" spans="1:9">
      <c r="A15" s="12"/>
      <c r="B15" s="12"/>
      <c r="C15" s="12"/>
      <c r="D15" s="12"/>
      <c r="E15" s="12"/>
      <c r="F15" s="12"/>
      <c r="G15" s="12"/>
      <c r="H15" s="12"/>
      <c r="I15" s="12"/>
    </row>
    <row r="16" spans="1:9">
      <c r="A16" s="12"/>
      <c r="B16" s="12"/>
      <c r="C16" s="12"/>
      <c r="D16" s="12"/>
      <c r="E16" s="12"/>
      <c r="F16" s="12"/>
      <c r="G16" s="15"/>
      <c r="H16" s="12"/>
      <c r="I16" s="12"/>
    </row>
    <row r="17" spans="1:9">
      <c r="A17" s="12"/>
      <c r="B17" s="12"/>
      <c r="C17" s="12"/>
      <c r="D17" s="12"/>
      <c r="E17" s="12"/>
      <c r="F17" s="12"/>
      <c r="G17" s="12"/>
      <c r="H17" s="12"/>
      <c r="I17" s="12"/>
    </row>
    <row r="18" spans="1:9">
      <c r="A18" s="12"/>
      <c r="B18" s="12"/>
      <c r="C18" s="12"/>
      <c r="D18" s="12"/>
      <c r="E18" s="12"/>
      <c r="F18" s="12"/>
      <c r="G18" s="15"/>
      <c r="H18" s="12"/>
      <c r="I18" s="12"/>
    </row>
    <row r="19" spans="1:9">
      <c r="A19" s="12"/>
      <c r="B19" s="12"/>
      <c r="C19" s="12"/>
      <c r="D19" s="12"/>
      <c r="E19" s="12"/>
      <c r="F19" s="12"/>
      <c r="G19" s="12"/>
      <c r="H19" s="12"/>
      <c r="I19" s="12"/>
    </row>
    <row r="20" spans="1:9">
      <c r="A20" s="12"/>
      <c r="B20" s="12"/>
      <c r="C20" s="12"/>
      <c r="D20" s="12"/>
      <c r="E20" s="12"/>
      <c r="F20" s="12"/>
      <c r="G20" s="15"/>
      <c r="H20" s="12"/>
      <c r="I20" s="12"/>
    </row>
    <row r="21" spans="1:9">
      <c r="A21" s="12"/>
      <c r="B21" s="12"/>
      <c r="C21" s="12"/>
      <c r="D21" s="12"/>
      <c r="E21" s="12"/>
      <c r="F21" s="12"/>
      <c r="G21" s="12"/>
      <c r="H21" s="12"/>
      <c r="I21" s="12"/>
    </row>
    <row r="22" spans="1:9">
      <c r="A22" s="12"/>
      <c r="B22" s="12"/>
      <c r="C22" s="12"/>
      <c r="D22" s="12"/>
      <c r="E22" s="12"/>
      <c r="F22" s="12"/>
      <c r="G22" s="15"/>
      <c r="H22" s="12"/>
      <c r="I22" s="12"/>
    </row>
    <row r="23" spans="1:9">
      <c r="A23" s="12"/>
      <c r="B23" s="12"/>
      <c r="C23" s="12"/>
      <c r="D23" s="12"/>
      <c r="E23" s="12"/>
      <c r="F23" s="12"/>
      <c r="G23" s="12"/>
      <c r="H23" s="12"/>
      <c r="I23" s="12"/>
    </row>
    <row r="24" spans="1:9">
      <c r="A24" s="12"/>
      <c r="B24" s="12"/>
      <c r="C24" s="12"/>
      <c r="D24" s="12"/>
      <c r="E24" s="12"/>
      <c r="F24" s="12"/>
      <c r="G24" s="12"/>
      <c r="H24" s="12"/>
      <c r="I24" s="12"/>
    </row>
    <row r="25" spans="1:9">
      <c r="A25" s="12"/>
      <c r="B25" s="12"/>
      <c r="C25" s="12"/>
      <c r="D25" s="12"/>
      <c r="E25" s="12"/>
      <c r="F25" s="12"/>
      <c r="G25" s="12"/>
      <c r="H25" s="12"/>
      <c r="I25" s="12"/>
    </row>
    <row r="26" spans="1:9">
      <c r="A26" s="12"/>
      <c r="B26" s="12"/>
      <c r="C26" s="12"/>
      <c r="D26" s="12"/>
      <c r="E26" s="12"/>
      <c r="F26" s="12"/>
      <c r="G26" s="12"/>
      <c r="H26" s="12"/>
      <c r="I26" s="12"/>
    </row>
    <row r="27" spans="1:9">
      <c r="A27" s="12"/>
      <c r="B27" s="12"/>
      <c r="C27" s="12"/>
      <c r="D27" s="12"/>
      <c r="E27" s="12"/>
      <c r="F27" s="12"/>
      <c r="G27" s="12"/>
      <c r="H27" s="16"/>
      <c r="I27" s="16"/>
    </row>
    <row r="28" spans="1:9">
      <c r="F28" s="17"/>
    </row>
  </sheetData>
  <conditionalFormatting sqref="E15 E19 E17 E21 E23">
    <cfRule type="cellIs" dxfId="11" priority="12" stopIfTrue="1" operator="equal">
      <formula>"NULL"</formula>
    </cfRule>
  </conditionalFormatting>
  <conditionalFormatting sqref="F3">
    <cfRule type="cellIs" dxfId="10" priority="11" stopIfTrue="1" operator="equal">
      <formula>"NULL"</formula>
    </cfRule>
  </conditionalFormatting>
  <conditionalFormatting sqref="F5">
    <cfRule type="cellIs" dxfId="9" priority="10" stopIfTrue="1" operator="equal">
      <formula>"NULL"</formula>
    </cfRule>
  </conditionalFormatting>
  <conditionalFormatting sqref="F7">
    <cfRule type="cellIs" dxfId="8" priority="9" stopIfTrue="1" operator="equal">
      <formula>"NULL"</formula>
    </cfRule>
  </conditionalFormatting>
  <conditionalFormatting sqref="E13">
    <cfRule type="cellIs" dxfId="7" priority="8" stopIfTrue="1" operator="equal">
      <formula>"NULL"</formula>
    </cfRule>
  </conditionalFormatting>
  <conditionalFormatting sqref="F14">
    <cfRule type="cellIs" dxfId="6" priority="7" stopIfTrue="1" operator="equal">
      <formula>"NULL"</formula>
    </cfRule>
  </conditionalFormatting>
  <conditionalFormatting sqref="F16">
    <cfRule type="cellIs" dxfId="5" priority="6" stopIfTrue="1" operator="equal">
      <formula>"NULL"</formula>
    </cfRule>
  </conditionalFormatting>
  <conditionalFormatting sqref="F18">
    <cfRule type="cellIs" dxfId="4" priority="5" stopIfTrue="1" operator="equal">
      <formula>"NULL"</formula>
    </cfRule>
  </conditionalFormatting>
  <conditionalFormatting sqref="F20">
    <cfRule type="cellIs" dxfId="3" priority="4" stopIfTrue="1" operator="equal">
      <formula>"NULL"</formula>
    </cfRule>
  </conditionalFormatting>
  <conditionalFormatting sqref="F22">
    <cfRule type="cellIs" dxfId="2" priority="3" stopIfTrue="1" operator="equal">
      <formula>"NULL"</formula>
    </cfRule>
  </conditionalFormatting>
  <conditionalFormatting sqref="F24">
    <cfRule type="cellIs" dxfId="1" priority="2" stopIfTrue="1" operator="equal">
      <formula>"NULL"</formula>
    </cfRule>
  </conditionalFormatting>
  <conditionalFormatting sqref="F28">
    <cfRule type="cellIs" dxfId="0" priority="1" stopIfTrue="1" operator="equal">
      <formula>"NULL"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param</vt:lpstr>
      <vt:lpstr>Dim produits</vt:lpstr>
      <vt:lpstr>Dim secteurs</vt:lpstr>
      <vt:lpstr>ter1</vt:lpstr>
      <vt:lpstr>data</vt:lpstr>
      <vt:lpstr>min_max</vt:lpstr>
      <vt:lpstr>other_constraints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2020-04-09T10:36:09Z</dcterms:created>
  <dcterms:modified xsi:type="dcterms:W3CDTF">2020-09-10T06:46:00Z</dcterms:modified>
</cp:coreProperties>
</file>